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drawings/drawing5.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_Common\Grants\Commerce\Comm DER CARD 2015 (Pneumatic_Electric Tool)\Calculator\"/>
    </mc:Choice>
  </mc:AlternateContent>
  <workbookProtection workbookPassword="C53C" lockStructure="1"/>
  <bookViews>
    <workbookView xWindow="0" yWindow="0" windowWidth="18870" windowHeight="7515"/>
  </bookViews>
  <sheets>
    <sheet name="Basic" sheetId="1" r:id="rId1"/>
    <sheet name="Advanced" sheetId="10" r:id="rId2"/>
    <sheet name="System Info" sheetId="3" state="veryHidden" r:id="rId3"/>
    <sheet name="Compressor Info" sheetId="5" state="veryHidden" r:id="rId4"/>
    <sheet name="Compressors" sheetId="8" state="veryHidden" r:id="rId5"/>
    <sheet name="CostsandSavings" sheetId="7" state="veryHidden" r:id="rId6"/>
    <sheet name="Consumption" sheetId="2" state="veryHidden" r:id="rId7"/>
    <sheet name="Test Numbers" sheetId="9" state="veryHidden" r:id="rId8"/>
  </sheets>
  <definedNames>
    <definedName name="_xlnm._FilterDatabase" localSheetId="0" hidden="1">Basic!$AB$93:$AB$94</definedName>
    <definedName name="_xlnm._FilterDatabase" localSheetId="4" hidden="1">Compressors!$A$1:$AY$1274</definedName>
    <definedName name="_xlnm._FilterDatabase" localSheetId="6" hidden="1">Consumption!$AZ$1:$BE$18</definedName>
    <definedName name="a">Compressors!$BB$3:$BB$5</definedName>
    <definedName name="b">Compressors!$BC$3:$BC$5</definedName>
    <definedName name="c_10psi">INDEX(tbl_secondary2[PSI],MATCH(Advanced!$L$30,tbl_secondary2[HP],0),1):INDEX(tbl_secondary2[PSI],MATCH(Advanced!$L$30,tbl_secondary2[HP],1),1)</definedName>
    <definedName name="c_10type">INDEX(tbl_three3[Type],MATCH(Advanced!$L$30&amp;Advanced!$L$31,tbl_three3[HP]&amp;tbl_three3[PSI],0),1):INDEX(tbl_three3[Type],(MATCH(Advanced!$L$30&amp;Advanced!$L$31,tbl_three3[HP]&amp;tbl_three3[PSI],0)-1+COUNTIFS(tbl_three3[HP],Advanced!$L$30,tbl_three3[PSI],Advanced!$L$31)),1)</definedName>
    <definedName name="c_1psi">INDEX(tbl_secondary2[PSI],MATCH(Advanced!$C$30,tbl_secondary2[HP],0),1):INDEX(tbl_secondary2[PSI],MATCH(Advanced!$C$30,tbl_secondary2[HP],1),1)</definedName>
    <definedName name="c_1type">INDEX(tbl_three3[Type],MATCH(Advanced!$C$30&amp;Advanced!$C$31,tbl_three3[HP]&amp;tbl_three3[PSI],0),1):INDEX(tbl_three3[Type],(MATCH(Advanced!$C$30&amp;Advanced!$C$31,tbl_three3[HP]&amp;tbl_three3[PSI],0)-1+COUNTIFS(tbl_three3[HP],Advanced!$C$30,tbl_three3[PSI],Advanced!$C$31)),1)</definedName>
    <definedName name="c_2psi">INDEX(tbl_secondary2[PSI],MATCH(Advanced!$D$30,tbl_secondary2[HP],0),1):INDEX(tbl_secondary2[PSI],MATCH(Advanced!$D$30,tbl_secondary2[HP],1),1)</definedName>
    <definedName name="c_2type">INDEX(tbl_three3[Type],MATCH(Advanced!$D$30&amp;Advanced!$D$31,tbl_three3[HP]&amp;tbl_three3[PSI],0),1):INDEX(tbl_three3[Type],(MATCH(Advanced!$D$30&amp;Advanced!$D$31,tbl_three3[HP]&amp;tbl_three3[PSI],0)-1+COUNTIFS(tbl_three3[HP],Advanced!$D$30,tbl_three3[PSI],Advanced!$D$31)),1)</definedName>
    <definedName name="c_3psi">INDEX(tbl_secondary2[PSI],MATCH(Advanced!$E$30,tbl_secondary2[HP],0),1):INDEX(tbl_secondary2[PSI],MATCH(Advanced!$E$30,tbl_secondary2[HP],1),1)</definedName>
    <definedName name="c_3type">INDEX(tbl_three3[Type],MATCH(Advanced!$E$30&amp;Advanced!$E$31,tbl_three3[HP]&amp;tbl_three3[PSI],0),1):INDEX(tbl_three3[Type],(MATCH(Advanced!$E$30&amp;Advanced!$E$31,tbl_three3[HP]&amp;tbl_three3[PSI],0)-1+COUNTIFS(tbl_three3[HP],Advanced!$E$30,tbl_three3[PSI],Advanced!$E$31)),1)</definedName>
    <definedName name="c_4psi">INDEX(tbl_secondary2[PSI],MATCH(Advanced!$F$30,tbl_secondary2[HP],0),1):INDEX(tbl_secondary2[PSI],MATCH(Advanced!$F$30,tbl_secondary2[HP],1),1)</definedName>
    <definedName name="c_4type">INDEX(tbl_three3[Type],MATCH(Advanced!$F$30&amp;Advanced!$F$31,tbl_three3[HP]&amp;tbl_three3[PSI],0),1):INDEX(tbl_three3[Type],(MATCH(Advanced!$F$30&amp;Advanced!$F$31,tbl_three3[HP]&amp;tbl_three3[PSI],0)-1+COUNTIFS(tbl_three3[HP],Advanced!$F$30,tbl_three3[PSI],Advanced!$F$31)),1)</definedName>
    <definedName name="c_5psi">INDEX(tbl_secondary2[PSI],MATCH(Advanced!$G$30,tbl_secondary2[HP],0),1):INDEX(tbl_secondary2[PSI],MATCH(Advanced!$G$30,tbl_secondary2[HP],1),1)</definedName>
    <definedName name="c_5type">INDEX(tbl_three3[Type],MATCH(Advanced!$G$30&amp;Advanced!$G$31,tbl_three3[HP]&amp;tbl_three3[PSI],0),1):INDEX(tbl_three3[Type],(MATCH(Advanced!$G$30&amp;Advanced!$G$31,tbl_three3[HP]&amp;tbl_three3[PSI],0)-1+COUNTIFS(tbl_three3[HP],Advanced!$G$30,tbl_three3[PSI],Advanced!$G$31)),1)</definedName>
    <definedName name="c_6psi">INDEX(tbl_secondary2[PSI],MATCH(Advanced!$H$30,tbl_secondary2[HP],0),1):INDEX(tbl_secondary2[PSI],MATCH(Advanced!$H$30,tbl_secondary2[HP],1),1)</definedName>
    <definedName name="c_6type">INDEX(tbl_three3[Type],MATCH(Advanced!$H$30&amp;Advanced!$H$31,tbl_three3[HP]&amp;tbl_three3[PSI],0),1):INDEX(tbl_three3[Type],(MATCH(Advanced!$H$30&amp;Advanced!$H$31,tbl_three3[HP]&amp;tbl_three3[PSI],0)-1+COUNTIFS(tbl_three3[HP],Advanced!$H$30,tbl_three3[PSI],Advanced!$H$31)),1)</definedName>
    <definedName name="c_7psi">INDEX(tbl_secondary2[PSI],MATCH(Advanced!$I$30,tbl_secondary2[HP],0),1):INDEX(tbl_secondary2[PSI],MATCH(Advanced!$I$30,tbl_secondary2[HP],1),1)</definedName>
    <definedName name="c_7type">INDEX(tbl_three3[Type],MATCH(Advanced!$I$30&amp;Advanced!$I$31,tbl_three3[HP]&amp;tbl_three3[PSI],0),1):INDEX(tbl_three3[Type],(MATCH(Advanced!$I$30&amp;Advanced!$I$31,tbl_three3[HP]&amp;tbl_three3[PSI],0)-1+COUNTIFS(tbl_three3[HP],Advanced!$I$30,tbl_three3[PSI],Advanced!$I$31)),1)</definedName>
    <definedName name="c_8psi">INDEX(tbl_secondary2[PSI],MATCH(Advanced!$J$30,tbl_secondary2[HP],0),1):INDEX(tbl_secondary2[PSI],MATCH(Advanced!$J$30,tbl_secondary2[HP],1),1)</definedName>
    <definedName name="c_8type">INDEX(tbl_three3[Type],MATCH(Advanced!$J$30&amp;Advanced!$J$31,tbl_three3[HP]&amp;tbl_three3[PSI],0),1):INDEX(tbl_three3[Type],(MATCH(Advanced!$J$30&amp;Advanced!$J$31,tbl_three3[HP]&amp;tbl_three3[PSI],0)-1+COUNTIFS(tbl_three3[HP],Advanced!$J$30,tbl_three3[PSI],Advanced!$J$31)),1)</definedName>
    <definedName name="c_9psi">INDEX(tbl_secondary2[PSI],MATCH(Advanced!$K$30,tbl_secondary2[HP],0),1):INDEX(tbl_secondary2[PSI],MATCH(Advanced!$K$30,tbl_secondary2[HP],1),1)</definedName>
    <definedName name="c_9type">INDEX(tbl_three3[Type],MATCH(Advanced!$K$30&amp;Advanced!$K$31,tbl_three3[HP]&amp;tbl_three3[PSI],0),1):INDEX(tbl_three3[Type],(MATCH(Advanced!$K$30&amp;Advanced!$K$31,tbl_three3[HP]&amp;tbl_three3[PSI],0)-1+COUNTIFS(tbl_three3[HP],Advanced!$K$30,tbl_three3[PSI],Advanced!$K$31)),1)</definedName>
    <definedName name="c_allhp">tbl_primary1[HP]</definedName>
    <definedName name="comptype1">Advanced!$C$32</definedName>
    <definedName name="comptype10">Advanced!$L$32</definedName>
    <definedName name="comptype2">Advanced!$D$32</definedName>
    <definedName name="comptype3">Advanced!$E$32</definedName>
    <definedName name="comptype4">Advanced!$F$32</definedName>
    <definedName name="comptype5">Advanced!$G$32</definedName>
    <definedName name="comptype6">Advanced!$H$32</definedName>
    <definedName name="comptype7">Advanced!$I$32</definedName>
    <definedName name="comptype8">Advanced!$J$32</definedName>
    <definedName name="comptype9">Advanced!$K$32</definedName>
    <definedName name="d">Compressors!$BE$3:$BE$5</definedName>
    <definedName name="Days1">Basic!$D$14</definedName>
    <definedName name="Days10">Basic!$P$14</definedName>
    <definedName name="Days2">Basic!$E$14</definedName>
    <definedName name="Days3">Basic!$G$14</definedName>
    <definedName name="Days4">Basic!$H$14</definedName>
    <definedName name="Days5">Basic!$J$14</definedName>
    <definedName name="Days6">Basic!$L$14</definedName>
    <definedName name="Days7">Basic!$M$14</definedName>
    <definedName name="Days8">Basic!$N$14</definedName>
    <definedName name="Days9">Basic!$O$14</definedName>
    <definedName name="dfltcrdlifetime">Advanced!$O$107</definedName>
    <definedName name="dfltcrdlslifetime">Advanced!$O$108</definedName>
    <definedName name="dfltplifetime">Advanced!$O$106</definedName>
    <definedName name="dftcost">Advanced!$O$109</definedName>
    <definedName name="dftleak">Advanced!$O$102</definedName>
    <definedName name="e">Compressors!$BD$3:$BD$5</definedName>
    <definedName name="f">Compressors!$BF$3:$BF$5</definedName>
    <definedName name="g">Compressors!$BG$3:$BG$5</definedName>
    <definedName name="h">Compressors!$BH$3:$BH$6</definedName>
    <definedName name="Hour1">Basic!$D$13</definedName>
    <definedName name="Hour10">Basic!$P$13</definedName>
    <definedName name="Hour2">Basic!$E$13</definedName>
    <definedName name="Hour3">Basic!$G$13</definedName>
    <definedName name="Hour4">Basic!$H$13</definedName>
    <definedName name="Hour5">Basic!$J$13</definedName>
    <definedName name="Hour6">Basic!$L$13</definedName>
    <definedName name="Hour7">Basic!$M$13</definedName>
    <definedName name="Hour8">Basic!$N$13</definedName>
    <definedName name="Hour9">Basic!$O$13</definedName>
    <definedName name="HP">Compressors!$AZ$3:$AZ$15</definedName>
    <definedName name="i">Compressors!$BI$3:$BI$5</definedName>
    <definedName name="j">Compressors!$BJ$3:$BJ$6</definedName>
    <definedName name="junk">Basic!$Z$123</definedName>
    <definedName name="k">Compressors!$BK$3:$BK$6</definedName>
    <definedName name="l">Compressors!$BL$3:$BL$6</definedName>
    <definedName name="m">Compressors!$BM$3:$BM$6</definedName>
    <definedName name="n">Compressors!$BN$3:$BN$6</definedName>
    <definedName name="pressure1">Advanced!$C$31</definedName>
    <definedName name="pressure10">Advanced!$L$31</definedName>
    <definedName name="pressure2">Advanced!$D$31</definedName>
    <definedName name="pressure3">Advanced!$E$31</definedName>
    <definedName name="pressure4">Advanced!$F$31</definedName>
    <definedName name="pressure5">Advanced!$G$31</definedName>
    <definedName name="pressure6">Advanced!$H$31</definedName>
    <definedName name="pressure7">Advanced!$I$31</definedName>
    <definedName name="pressure8">Advanced!$J$31</definedName>
    <definedName name="pressure9">Advanced!$K$31</definedName>
    <definedName name="Quantity1">Basic!$D$12</definedName>
    <definedName name="Quantity10">Basic!$P$12</definedName>
    <definedName name="Quantity2">Basic!$E$12</definedName>
    <definedName name="Quantity3">Basic!$G$12</definedName>
    <definedName name="Quantity4">Basic!$H$12</definedName>
    <definedName name="Quantity5">Basic!$J$12</definedName>
    <definedName name="Quantity6">Basic!$L$12</definedName>
    <definedName name="Quantity7">Basic!$M$12</definedName>
    <definedName name="Quantity8">Basic!$N$12</definedName>
    <definedName name="Quantity9">Basic!$O$12</definedName>
    <definedName name="Rtype1">Basic!$D$15</definedName>
    <definedName name="Rtype10">Basic!$P$15</definedName>
    <definedName name="Rtype2">Basic!$E$15</definedName>
    <definedName name="Rtype3">Basic!$G$15</definedName>
    <definedName name="Rtype4">Basic!$H$15</definedName>
    <definedName name="Rtype5">Basic!$J$15</definedName>
    <definedName name="Rtype6">Basic!$L$15</definedName>
    <definedName name="Rtype7">Basic!$M$15</definedName>
    <definedName name="Rtype8">Basic!$N$15</definedName>
    <definedName name="Rtype9">Basic!$O$15</definedName>
    <definedName name="specpow">Advanced!$T$122</definedName>
    <definedName name="Type1">Basic!$D$11</definedName>
    <definedName name="Type10">Basic!$P$11</definedName>
    <definedName name="Type2">Basic!$E$11</definedName>
    <definedName name="Type3">Basic!$G$11</definedName>
    <definedName name="Type4">Basic!$H$11</definedName>
    <definedName name="Type5">Basic!$J$11</definedName>
    <definedName name="Type6">Basic!$L$11</definedName>
    <definedName name="Type7">Basic!$M$11</definedName>
    <definedName name="Type8">Basic!$N$11</definedName>
    <definedName name="Type9">Basic!$O$11</definedName>
  </definedNames>
  <calcPr calcId="152511"/>
</workbook>
</file>

<file path=xl/calcChain.xml><?xml version="1.0" encoding="utf-8"?>
<calcChain xmlns="http://schemas.openxmlformats.org/spreadsheetml/2006/main">
  <c r="O103" i="10" l="1"/>
  <c r="O108" i="10"/>
  <c r="O107" i="10"/>
  <c r="O106" i="10"/>
  <c r="T139" i="10" s="1"/>
  <c r="Q6" i="2" l="1"/>
  <c r="Q7" i="2"/>
  <c r="Q8" i="2"/>
  <c r="Q9" i="2"/>
  <c r="Q10" i="2"/>
  <c r="Q11" i="2"/>
  <c r="Q12" i="2"/>
  <c r="Q13" i="2"/>
  <c r="Q14" i="2"/>
  <c r="Q15" i="2"/>
  <c r="Q16" i="2"/>
  <c r="Q17" i="2"/>
  <c r="Q18" i="2"/>
  <c r="Q19" i="2"/>
  <c r="Q20" i="2"/>
  <c r="Q5" i="2"/>
  <c r="P6" i="2"/>
  <c r="P7" i="2"/>
  <c r="P8" i="2"/>
  <c r="P9" i="2"/>
  <c r="P10" i="2"/>
  <c r="P11" i="2"/>
  <c r="P12" i="2"/>
  <c r="P13" i="2"/>
  <c r="P14" i="2"/>
  <c r="P15" i="2"/>
  <c r="P16" i="2"/>
  <c r="P17" i="2"/>
  <c r="P18" i="2"/>
  <c r="P19" i="2"/>
  <c r="P20" i="2"/>
  <c r="P5" i="2"/>
  <c r="O6" i="2"/>
  <c r="O7" i="2"/>
  <c r="O8" i="2"/>
  <c r="O9" i="2"/>
  <c r="O10" i="2"/>
  <c r="O11" i="2"/>
  <c r="O12" i="2"/>
  <c r="O13" i="2"/>
  <c r="O14" i="2"/>
  <c r="O15" i="2"/>
  <c r="O16" i="2"/>
  <c r="O17" i="2"/>
  <c r="O18" i="2"/>
  <c r="O19" i="2"/>
  <c r="O20" i="2"/>
  <c r="O5" i="2"/>
  <c r="N6" i="2"/>
  <c r="N7" i="2"/>
  <c r="N8" i="2"/>
  <c r="N9" i="2"/>
  <c r="N10" i="2"/>
  <c r="N11" i="2"/>
  <c r="N12" i="2"/>
  <c r="N13" i="2"/>
  <c r="N14" i="2"/>
  <c r="N15" i="2"/>
  <c r="N16" i="2"/>
  <c r="N17" i="2"/>
  <c r="N18" i="2"/>
  <c r="N19" i="2"/>
  <c r="N20" i="2"/>
  <c r="N5" i="2"/>
  <c r="Y71" i="1"/>
  <c r="J20" i="2"/>
  <c r="J19" i="2"/>
  <c r="J18" i="2"/>
  <c r="J17" i="2"/>
  <c r="J15" i="2"/>
  <c r="AH58" i="1" l="1"/>
  <c r="AG58" i="1"/>
  <c r="AF58" i="1"/>
  <c r="AE58" i="1"/>
  <c r="AD58" i="1"/>
  <c r="AC58" i="1"/>
  <c r="AB58" i="1"/>
  <c r="AA58" i="1"/>
  <c r="Z58" i="1"/>
  <c r="AH57" i="1"/>
  <c r="AG57" i="1"/>
  <c r="AF57" i="1"/>
  <c r="AE57" i="1"/>
  <c r="AD57" i="1"/>
  <c r="AC57" i="1"/>
  <c r="AB57" i="1"/>
  <c r="AA57" i="1"/>
  <c r="Z57" i="1"/>
  <c r="AA68" i="1"/>
  <c r="AB68" i="1"/>
  <c r="AC68" i="1"/>
  <c r="AD68" i="1"/>
  <c r="AE68" i="1"/>
  <c r="AF68" i="1"/>
  <c r="AG68" i="1"/>
  <c r="AH68" i="1"/>
  <c r="AA67" i="1"/>
  <c r="AB67" i="1"/>
  <c r="AC67" i="1"/>
  <c r="AD67" i="1"/>
  <c r="AE67" i="1"/>
  <c r="AF67" i="1"/>
  <c r="AG67" i="1"/>
  <c r="AH67" i="1"/>
  <c r="AH62" i="1"/>
  <c r="AG62" i="1"/>
  <c r="AF62" i="1"/>
  <c r="AE62" i="1"/>
  <c r="AD62" i="1"/>
  <c r="AC62" i="1"/>
  <c r="AB62" i="1"/>
  <c r="AA62" i="1"/>
  <c r="Z62" i="1"/>
  <c r="AH79" i="1"/>
  <c r="AG79" i="1"/>
  <c r="AF79" i="1"/>
  <c r="AE79" i="1"/>
  <c r="AD79" i="1"/>
  <c r="AC79" i="1"/>
  <c r="AB79" i="1"/>
  <c r="AA79" i="1"/>
  <c r="Z79" i="1"/>
  <c r="Z67" i="1" s="1"/>
  <c r="Y79" i="1"/>
  <c r="Z68" i="1" l="1"/>
  <c r="T114" i="10"/>
  <c r="AC113" i="10"/>
  <c r="AB113" i="10"/>
  <c r="AA113" i="10"/>
  <c r="Z113" i="10"/>
  <c r="Y113" i="10"/>
  <c r="X113" i="10"/>
  <c r="W113" i="10" l="1"/>
  <c r="V113" i="10"/>
  <c r="U113" i="10"/>
  <c r="T113" i="10"/>
  <c r="Z75" i="1" l="1"/>
  <c r="AA75" i="1"/>
  <c r="AB75" i="1"/>
  <c r="AC75" i="1"/>
  <c r="AD75" i="1"/>
  <c r="AE75" i="1"/>
  <c r="AF75" i="1"/>
  <c r="AG75" i="1"/>
  <c r="AH75" i="1"/>
  <c r="Z74" i="1"/>
  <c r="AA74" i="1"/>
  <c r="AB74" i="1"/>
  <c r="AC74" i="1"/>
  <c r="AD74" i="1"/>
  <c r="AE74" i="1"/>
  <c r="AF74" i="1"/>
  <c r="AG74" i="1"/>
  <c r="AH74" i="1"/>
  <c r="Y75" i="1"/>
  <c r="Y74" i="1"/>
  <c r="Z73" i="1"/>
  <c r="AA73" i="1"/>
  <c r="AB73" i="1"/>
  <c r="AC73" i="1"/>
  <c r="AD73" i="1"/>
  <c r="AE73" i="1"/>
  <c r="AF73" i="1"/>
  <c r="AG73" i="1"/>
  <c r="AH73" i="1"/>
  <c r="Y73" i="1"/>
  <c r="Y169" i="10"/>
  <c r="U144" i="10"/>
  <c r="U145" i="10" s="1"/>
  <c r="U166" i="10" s="1"/>
  <c r="V144" i="10"/>
  <c r="V145" i="10" s="1"/>
  <c r="V166" i="10" s="1"/>
  <c r="W144" i="10"/>
  <c r="W145" i="10" s="1"/>
  <c r="W166" i="10" s="1"/>
  <c r="X144" i="10"/>
  <c r="X145" i="10" s="1"/>
  <c r="X166" i="10" s="1"/>
  <c r="Y144" i="10"/>
  <c r="Y145" i="10" s="1"/>
  <c r="Y166" i="10" s="1"/>
  <c r="Z144" i="10"/>
  <c r="Z145" i="10" s="1"/>
  <c r="Z166" i="10" s="1"/>
  <c r="AA144" i="10"/>
  <c r="AA145" i="10" s="1"/>
  <c r="AA166" i="10" s="1"/>
  <c r="AB144" i="10"/>
  <c r="AB145" i="10" s="1"/>
  <c r="AB166" i="10" s="1"/>
  <c r="AC144" i="10"/>
  <c r="AC145" i="10" s="1"/>
  <c r="AC166" i="10" s="1"/>
  <c r="U165" i="10"/>
  <c r="AC118" i="10" l="1"/>
  <c r="U118" i="10"/>
  <c r="V118" i="10"/>
  <c r="W118" i="10"/>
  <c r="X118" i="10"/>
  <c r="Y118" i="10"/>
  <c r="Z118" i="10"/>
  <c r="AA118" i="10"/>
  <c r="AB118" i="10"/>
  <c r="T118" i="10"/>
  <c r="V114" i="10"/>
  <c r="U114" i="10"/>
  <c r="AC114" i="10"/>
  <c r="AB114" i="10"/>
  <c r="AA114" i="10"/>
  <c r="AA115" i="10" s="1"/>
  <c r="Z114" i="10"/>
  <c r="Y114" i="10"/>
  <c r="Y115" i="10" s="1"/>
  <c r="X114" i="10"/>
  <c r="X115" i="10" s="1"/>
  <c r="W114" i="10"/>
  <c r="V115" i="10" l="1"/>
  <c r="Z115" i="10"/>
  <c r="W115" i="10"/>
  <c r="AC115" i="10"/>
  <c r="AB115" i="10"/>
  <c r="U115" i="10"/>
  <c r="V165" i="10"/>
  <c r="W165" i="10"/>
  <c r="X165" i="10"/>
  <c r="Y165" i="10"/>
  <c r="Z165" i="10"/>
  <c r="AA165" i="10"/>
  <c r="AB165" i="10"/>
  <c r="AC165" i="10"/>
  <c r="T137" i="10"/>
  <c r="U161" i="10"/>
  <c r="V162" i="10"/>
  <c r="O109" i="10"/>
  <c r="O102" i="10"/>
  <c r="T161" i="10"/>
  <c r="AC146" i="10" l="1"/>
  <c r="AC167" i="10" s="1"/>
  <c r="V146" i="10"/>
  <c r="V167" i="10" s="1"/>
  <c r="Z146" i="10"/>
  <c r="Z167" i="10" s="1"/>
  <c r="T167" i="10"/>
  <c r="W146" i="10"/>
  <c r="W167" i="10" s="1"/>
  <c r="X146" i="10"/>
  <c r="X167" i="10" s="1"/>
  <c r="AB146" i="10"/>
  <c r="AB167" i="10" s="1"/>
  <c r="Y146" i="10"/>
  <c r="Y167" i="10" s="1"/>
  <c r="AA146" i="10"/>
  <c r="AA167" i="10" s="1"/>
  <c r="U146" i="10"/>
  <c r="U167" i="10" s="1"/>
  <c r="X160" i="10"/>
  <c r="W139" i="10"/>
  <c r="U139" i="10"/>
  <c r="Y139" i="10"/>
  <c r="AC139" i="10"/>
  <c r="AA139" i="10"/>
  <c r="V139" i="10"/>
  <c r="Z139" i="10"/>
  <c r="X139" i="10"/>
  <c r="AB139" i="10"/>
  <c r="T158" i="10"/>
  <c r="AD118" i="10"/>
  <c r="T160" i="10"/>
  <c r="T162" i="10"/>
  <c r="AA160" i="10"/>
  <c r="W160" i="10"/>
  <c r="AB161" i="10"/>
  <c r="X161" i="10"/>
  <c r="AC162" i="10"/>
  <c r="Y162" i="10"/>
  <c r="U162" i="10"/>
  <c r="Z160" i="10"/>
  <c r="V160" i="10"/>
  <c r="AA161" i="10"/>
  <c r="W161" i="10"/>
  <c r="AB162" i="10"/>
  <c r="X162" i="10"/>
  <c r="AC160" i="10"/>
  <c r="Y160" i="10"/>
  <c r="U160" i="10"/>
  <c r="Z161" i="10"/>
  <c r="V161" i="10"/>
  <c r="AA162" i="10"/>
  <c r="W162" i="10"/>
  <c r="AB160" i="10"/>
  <c r="AC161" i="10"/>
  <c r="Y161" i="10"/>
  <c r="Z162" i="10"/>
  <c r="T165" i="10"/>
  <c r="T144" i="10"/>
  <c r="T166" i="10" s="1"/>
  <c r="V142" i="10"/>
  <c r="V163" i="10" s="1"/>
  <c r="V148" i="10" s="1"/>
  <c r="W142" i="10"/>
  <c r="W163" i="10" s="1"/>
  <c r="W148" i="10" s="1"/>
  <c r="X142" i="10"/>
  <c r="X163" i="10" s="1"/>
  <c r="X148" i="10" s="1"/>
  <c r="Y142" i="10"/>
  <c r="Y163" i="10" s="1"/>
  <c r="Y148" i="10" s="1"/>
  <c r="Z142" i="10"/>
  <c r="Z163" i="10" s="1"/>
  <c r="Z148" i="10" s="1"/>
  <c r="AA142" i="10"/>
  <c r="AA163" i="10" s="1"/>
  <c r="AA148" i="10" s="1"/>
  <c r="AB142" i="10"/>
  <c r="AB163" i="10" s="1"/>
  <c r="AB148" i="10" s="1"/>
  <c r="AC142" i="10"/>
  <c r="AC163" i="10" s="1"/>
  <c r="AC148" i="10" s="1"/>
  <c r="U138" i="10"/>
  <c r="V138" i="10"/>
  <c r="W138" i="10"/>
  <c r="X138" i="10"/>
  <c r="Y138" i="10"/>
  <c r="Z138" i="10"/>
  <c r="AA138" i="10"/>
  <c r="AB138" i="10"/>
  <c r="AC138" i="10"/>
  <c r="T138" i="10"/>
  <c r="U137" i="10"/>
  <c r="V137" i="10"/>
  <c r="W137" i="10"/>
  <c r="X137" i="10"/>
  <c r="Y137" i="10"/>
  <c r="Z137" i="10"/>
  <c r="AA137" i="10"/>
  <c r="AB137" i="10"/>
  <c r="AC137" i="10"/>
  <c r="U136" i="10"/>
  <c r="V136" i="10"/>
  <c r="W136" i="10"/>
  <c r="X136" i="10"/>
  <c r="Y136" i="10"/>
  <c r="Z136" i="10"/>
  <c r="AA136" i="10"/>
  <c r="AB136" i="10"/>
  <c r="AC136" i="10"/>
  <c r="T136" i="10"/>
  <c r="V143" i="10"/>
  <c r="W143" i="10"/>
  <c r="X143" i="10"/>
  <c r="Y143" i="10"/>
  <c r="Z143" i="10"/>
  <c r="AA143" i="10"/>
  <c r="AB143" i="10"/>
  <c r="AC143" i="10"/>
  <c r="T129" i="10" l="1"/>
  <c r="Z129" i="10"/>
  <c r="U129" i="10"/>
  <c r="T151" i="10"/>
  <c r="AC157" i="10"/>
  <c r="AC150" i="10" s="1"/>
  <c r="AC129" i="10"/>
  <c r="AB157" i="10"/>
  <c r="AB129" i="10"/>
  <c r="X157" i="10"/>
  <c r="X150" i="10" s="1"/>
  <c r="X129" i="10"/>
  <c r="AA157" i="10"/>
  <c r="AA150" i="10" s="1"/>
  <c r="AA129" i="10"/>
  <c r="W157" i="10"/>
  <c r="W150" i="10" s="1"/>
  <c r="W129" i="10"/>
  <c r="AB150" i="10"/>
  <c r="V157" i="10"/>
  <c r="V150" i="10" s="1"/>
  <c r="V129" i="10"/>
  <c r="Y157" i="10"/>
  <c r="Y150" i="10" s="1"/>
  <c r="Y129" i="10"/>
  <c r="V158" i="10"/>
  <c r="AC158" i="10"/>
  <c r="AC151" i="10" s="1"/>
  <c r="AC155" i="10" s="1"/>
  <c r="AB158" i="10"/>
  <c r="AB153" i="10" s="1"/>
  <c r="AB156" i="10" s="1"/>
  <c r="X158" i="10"/>
  <c r="Z158" i="10"/>
  <c r="Z153" i="10" s="1"/>
  <c r="Z156" i="10" s="1"/>
  <c r="Y158" i="10"/>
  <c r="T153" i="10"/>
  <c r="U158" i="10"/>
  <c r="U151" i="10" s="1"/>
  <c r="T159" i="10"/>
  <c r="T152" i="10" s="1"/>
  <c r="T157" i="10"/>
  <c r="T150" i="10" s="1"/>
  <c r="U157" i="10"/>
  <c r="U150" i="10" s="1"/>
  <c r="Z157" i="10"/>
  <c r="Z150" i="10" s="1"/>
  <c r="AB128" i="10"/>
  <c r="AB164" i="10"/>
  <c r="AB149" i="10" s="1"/>
  <c r="X128" i="10"/>
  <c r="X164" i="10"/>
  <c r="X149" i="10" s="1"/>
  <c r="AA128" i="10"/>
  <c r="AA164" i="10"/>
  <c r="AA149" i="10" s="1"/>
  <c r="Z128" i="10"/>
  <c r="Z164" i="10"/>
  <c r="Z149" i="10" s="1"/>
  <c r="V128" i="10"/>
  <c r="V164" i="10"/>
  <c r="W128" i="10"/>
  <c r="W164" i="10"/>
  <c r="W149" i="10" s="1"/>
  <c r="AC128" i="10"/>
  <c r="AC164" i="10"/>
  <c r="AC149" i="10" s="1"/>
  <c r="Y128" i="10"/>
  <c r="Y164" i="10"/>
  <c r="Y149" i="10" s="1"/>
  <c r="X119" i="10"/>
  <c r="T119" i="10"/>
  <c r="AB119" i="10"/>
  <c r="V119" i="10"/>
  <c r="AA119" i="10"/>
  <c r="Y119" i="10"/>
  <c r="Z119" i="10"/>
  <c r="U119" i="10"/>
  <c r="AC119" i="10"/>
  <c r="W119" i="10"/>
  <c r="X133" i="10"/>
  <c r="X159" i="10"/>
  <c r="X152" i="10" s="1"/>
  <c r="AA133" i="10"/>
  <c r="AA159" i="10"/>
  <c r="AA152" i="10" s="1"/>
  <c r="W133" i="10"/>
  <c r="W159" i="10"/>
  <c r="W152" i="10" s="1"/>
  <c r="Z133" i="10"/>
  <c r="Z159" i="10"/>
  <c r="Z152" i="10" s="1"/>
  <c r="V133" i="10"/>
  <c r="V159" i="10"/>
  <c r="V152" i="10" s="1"/>
  <c r="AA132" i="10"/>
  <c r="AA158" i="10"/>
  <c r="AA151" i="10" s="1"/>
  <c r="W132" i="10"/>
  <c r="W158" i="10"/>
  <c r="W151" i="10" s="1"/>
  <c r="AC133" i="10"/>
  <c r="AC159" i="10"/>
  <c r="AC152" i="10" s="1"/>
  <c r="Y133" i="10"/>
  <c r="Y159" i="10"/>
  <c r="Y152" i="10" s="1"/>
  <c r="U133" i="10"/>
  <c r="U159" i="10"/>
  <c r="U152" i="10" s="1"/>
  <c r="AB133" i="10"/>
  <c r="AB159" i="10"/>
  <c r="AB152" i="10" s="1"/>
  <c r="T132" i="10"/>
  <c r="Z132" i="10"/>
  <c r="V132" i="10"/>
  <c r="AC132" i="10"/>
  <c r="Y132" i="10"/>
  <c r="U132" i="10"/>
  <c r="AB132" i="10"/>
  <c r="X132" i="10"/>
  <c r="T133" i="10"/>
  <c r="T155" i="10" l="1"/>
  <c r="U153" i="10"/>
  <c r="T173" i="10"/>
  <c r="U173" i="10"/>
  <c r="T154" i="10"/>
  <c r="T156" i="10" s="1"/>
  <c r="AC153" i="10"/>
  <c r="AC156" i="10" s="1"/>
  <c r="Z151" i="10"/>
  <c r="Z155" i="10" s="1"/>
  <c r="V153" i="10"/>
  <c r="V156" i="10" s="1"/>
  <c r="V151" i="10"/>
  <c r="V155" i="10" s="1"/>
  <c r="Y153" i="10"/>
  <c r="Y156" i="10" s="1"/>
  <c r="Y151" i="10"/>
  <c r="Y155" i="10" s="1"/>
  <c r="X153" i="10"/>
  <c r="X156" i="10" s="1"/>
  <c r="X151" i="10"/>
  <c r="X155" i="10" s="1"/>
  <c r="AB151" i="10"/>
  <c r="AB155" i="10" s="1"/>
  <c r="U135" i="10"/>
  <c r="W153" i="10"/>
  <c r="V154" i="10"/>
  <c r="W154" i="10"/>
  <c r="AB154" i="10"/>
  <c r="AC154" i="10"/>
  <c r="AA153" i="10"/>
  <c r="AA156" i="10" s="1"/>
  <c r="AA155" i="10"/>
  <c r="Z154" i="10"/>
  <c r="AA154" i="10"/>
  <c r="X154" i="10"/>
  <c r="Y154" i="10"/>
  <c r="U155" i="10"/>
  <c r="U154" i="10"/>
  <c r="T115" i="10"/>
  <c r="C68" i="10" l="1"/>
  <c r="D68" i="10"/>
  <c r="U156" i="10"/>
  <c r="W155" i="10"/>
  <c r="W156" i="10"/>
  <c r="CE27" i="8"/>
  <c r="CD27" i="8"/>
  <c r="CC27" i="8"/>
  <c r="CB27" i="8"/>
  <c r="CA27" i="8"/>
  <c r="BZ27" i="8"/>
  <c r="BY27" i="8"/>
  <c r="BX27" i="8"/>
  <c r="BW27" i="8"/>
  <c r="CE28" i="8"/>
  <c r="CD28" i="8"/>
  <c r="CC28" i="8"/>
  <c r="CB28" i="8"/>
  <c r="CA28" i="8"/>
  <c r="BZ28" i="8"/>
  <c r="BY28" i="8"/>
  <c r="CE29" i="8"/>
  <c r="CC29" i="8"/>
  <c r="CA29" i="8"/>
  <c r="BY29" i="8"/>
  <c r="CD29" i="8"/>
  <c r="CB29" i="8"/>
  <c r="BZ29" i="8"/>
  <c r="BX29" i="8"/>
  <c r="BV35" i="8" a="1"/>
  <c r="BV35" i="8" s="1"/>
  <c r="BW29" i="8" a="1"/>
  <c r="BW29" i="8" s="1"/>
  <c r="BV34" i="8" a="1"/>
  <c r="BV34" i="8" s="1"/>
  <c r="BW15" i="8"/>
  <c r="BX11" i="8" a="1"/>
  <c r="BX11" i="8" s="1"/>
  <c r="BW11" i="8" a="1"/>
  <c r="BW11" i="8" s="1"/>
  <c r="BV11" i="8" a="1"/>
  <c r="BV11" i="8" s="1"/>
  <c r="U175" i="10" l="1"/>
  <c r="U174" i="10"/>
  <c r="F68" i="10" s="1"/>
  <c r="BY14" i="8"/>
  <c r="BX14" i="8"/>
  <c r="D76" i="10" l="1"/>
  <c r="C76" i="10"/>
  <c r="V187" i="10"/>
  <c r="T187" i="10"/>
  <c r="AB187" i="10" s="1"/>
  <c r="U187" i="10"/>
  <c r="H62" i="9"/>
  <c r="G62" i="9"/>
  <c r="F62" i="9"/>
  <c r="C62" i="9"/>
  <c r="B62" i="9"/>
  <c r="A62" i="9"/>
  <c r="F42" i="9"/>
  <c r="H41" i="9"/>
  <c r="H42" i="9" s="1"/>
  <c r="G41" i="9"/>
  <c r="G42" i="9" s="1"/>
  <c r="F41" i="9"/>
  <c r="C27" i="9"/>
  <c r="C41" i="9" s="1"/>
  <c r="C42" i="9" s="1"/>
  <c r="B27" i="9"/>
  <c r="B41" i="9" s="1"/>
  <c r="B42" i="9" s="1"/>
  <c r="A27" i="9"/>
  <c r="A41" i="9" s="1"/>
  <c r="A42" i="9" s="1"/>
  <c r="H20" i="9"/>
  <c r="H21" i="9" s="1"/>
  <c r="G20" i="9"/>
  <c r="G21" i="9" s="1"/>
  <c r="F20" i="9"/>
  <c r="F21" i="9" s="1"/>
  <c r="C20" i="9"/>
  <c r="C21" i="9" s="1"/>
  <c r="B20" i="9"/>
  <c r="B21" i="9" s="1"/>
  <c r="A20" i="9"/>
  <c r="A21" i="9" s="1"/>
  <c r="AS36" i="2"/>
  <c r="L36" i="2"/>
  <c r="K36" i="2"/>
  <c r="H36" i="2"/>
  <c r="E36" i="2"/>
  <c r="D36" i="2"/>
  <c r="AS35" i="2"/>
  <c r="AR35" i="2"/>
  <c r="H35" i="2"/>
  <c r="AS34" i="2"/>
  <c r="H34" i="2"/>
  <c r="E34" i="2"/>
  <c r="AR34" i="2" s="1"/>
  <c r="E32" i="2"/>
  <c r="H29" i="2"/>
  <c r="E24" i="2"/>
  <c r="E23" i="2"/>
  <c r="S20" i="2"/>
  <c r="M20" i="2"/>
  <c r="L20" i="2"/>
  <c r="I20" i="2"/>
  <c r="E20" i="2"/>
  <c r="S19" i="2"/>
  <c r="M19" i="2"/>
  <c r="L19" i="2"/>
  <c r="K19" i="2"/>
  <c r="I19" i="2"/>
  <c r="H19" i="2"/>
  <c r="AT19" i="2" s="1"/>
  <c r="E19" i="2"/>
  <c r="AT18" i="2"/>
  <c r="T18" i="2"/>
  <c r="S18" i="2"/>
  <c r="M18" i="2"/>
  <c r="L18" i="2"/>
  <c r="I18" i="2"/>
  <c r="S17" i="2"/>
  <c r="M17" i="2"/>
  <c r="L17" i="2"/>
  <c r="K17" i="2"/>
  <c r="I17" i="2"/>
  <c r="AU17" i="2" s="1"/>
  <c r="H17" i="2"/>
  <c r="T17" i="2" s="1"/>
  <c r="E17" i="2"/>
  <c r="S16" i="2"/>
  <c r="M16" i="2"/>
  <c r="L16" i="2"/>
  <c r="AU16" i="2"/>
  <c r="H16" i="2"/>
  <c r="T16" i="2" s="1"/>
  <c r="E16" i="2"/>
  <c r="S15" i="2"/>
  <c r="M15" i="2"/>
  <c r="L15" i="2"/>
  <c r="AR15" i="2" s="1"/>
  <c r="K15" i="2"/>
  <c r="I15" i="2"/>
  <c r="AU15" i="2" s="1"/>
  <c r="H15" i="2"/>
  <c r="E15" i="2"/>
  <c r="S14" i="2"/>
  <c r="M14" i="2"/>
  <c r="L14" i="2"/>
  <c r="K14" i="2"/>
  <c r="J14" i="2"/>
  <c r="AU14" i="2" s="1"/>
  <c r="I14" i="2"/>
  <c r="H14" i="2"/>
  <c r="E14" i="2"/>
  <c r="T14" i="2" s="1"/>
  <c r="AR13" i="2"/>
  <c r="S13" i="2"/>
  <c r="K13" i="2"/>
  <c r="AV13" i="2" s="1"/>
  <c r="J13" i="2"/>
  <c r="I13" i="2"/>
  <c r="AU13" i="2" s="1"/>
  <c r="H13" i="2"/>
  <c r="E13" i="2"/>
  <c r="AT13" i="2" s="1"/>
  <c r="D13" i="2"/>
  <c r="C13" i="2"/>
  <c r="S12" i="2"/>
  <c r="M12" i="2"/>
  <c r="L12" i="2"/>
  <c r="K12" i="2"/>
  <c r="AV12" i="2" s="1"/>
  <c r="J12" i="2"/>
  <c r="I12" i="2"/>
  <c r="H12" i="2"/>
  <c r="T143" i="10" s="1"/>
  <c r="E12" i="2"/>
  <c r="T142" i="10" s="1"/>
  <c r="S11" i="2"/>
  <c r="M11" i="2"/>
  <c r="L11" i="2"/>
  <c r="AV11" i="2" s="1"/>
  <c r="K11" i="2"/>
  <c r="J11" i="2"/>
  <c r="I11" i="2"/>
  <c r="AU11" i="2" s="1"/>
  <c r="H11" i="2"/>
  <c r="T11" i="2" s="1"/>
  <c r="E11" i="2"/>
  <c r="S10" i="2"/>
  <c r="M10" i="2"/>
  <c r="L10" i="2"/>
  <c r="K10" i="2"/>
  <c r="AV10" i="2" s="1"/>
  <c r="J10" i="2"/>
  <c r="H10" i="2"/>
  <c r="T10" i="2" s="1"/>
  <c r="E10" i="2"/>
  <c r="AT10" i="2" s="1"/>
  <c r="S9" i="2"/>
  <c r="M9" i="2"/>
  <c r="L9" i="2"/>
  <c r="K9" i="2"/>
  <c r="J9" i="2"/>
  <c r="I9" i="2"/>
  <c r="AU9" i="2" s="1"/>
  <c r="H9" i="2"/>
  <c r="E9" i="2"/>
  <c r="S8" i="2"/>
  <c r="M8" i="2"/>
  <c r="L8" i="2"/>
  <c r="K8" i="2"/>
  <c r="J8" i="2"/>
  <c r="I8" i="2"/>
  <c r="AU8" i="2" s="1"/>
  <c r="H8" i="2"/>
  <c r="E8" i="2"/>
  <c r="S7" i="2"/>
  <c r="M7" i="2"/>
  <c r="L7" i="2"/>
  <c r="AV7" i="2" s="1"/>
  <c r="K7" i="2"/>
  <c r="J7" i="2"/>
  <c r="I7" i="2"/>
  <c r="AU7" i="2" s="1"/>
  <c r="H7" i="2"/>
  <c r="T7" i="2" s="1"/>
  <c r="E7" i="2"/>
  <c r="S6" i="2"/>
  <c r="M6" i="2"/>
  <c r="L6" i="2"/>
  <c r="K6" i="2"/>
  <c r="J6" i="2"/>
  <c r="I6" i="2"/>
  <c r="H6" i="2"/>
  <c r="E6" i="2"/>
  <c r="AT6" i="2" s="1"/>
  <c r="AW5" i="2"/>
  <c r="AS5" i="2"/>
  <c r="S5" i="2"/>
  <c r="M5" i="2"/>
  <c r="L5" i="2"/>
  <c r="AV5" i="2" s="1"/>
  <c r="K5" i="2"/>
  <c r="J5" i="2"/>
  <c r="I5" i="2"/>
  <c r="AU5" i="2" s="1"/>
  <c r="H5" i="2"/>
  <c r="U143" i="10" s="1"/>
  <c r="E5" i="2"/>
  <c r="U142" i="10" s="1"/>
  <c r="U163" i="10" s="1"/>
  <c r="U148" i="10" s="1"/>
  <c r="A34" i="7"/>
  <c r="A33" i="7"/>
  <c r="K31" i="7"/>
  <c r="J31" i="7"/>
  <c r="I31" i="7"/>
  <c r="A31" i="7"/>
  <c r="A28" i="7"/>
  <c r="AT317" i="8"/>
  <c r="AT316" i="8"/>
  <c r="AT315" i="8"/>
  <c r="AT314" i="8"/>
  <c r="AT313" i="8"/>
  <c r="AT312" i="8"/>
  <c r="AT311" i="8"/>
  <c r="AT310" i="8"/>
  <c r="AT309" i="8"/>
  <c r="AT308" i="8"/>
  <c r="AT307" i="8"/>
  <c r="AT306" i="8"/>
  <c r="AT305" i="8"/>
  <c r="AU304" i="8"/>
  <c r="AT304" i="8"/>
  <c r="AU303" i="8"/>
  <c r="AT303" i="8"/>
  <c r="AT302" i="8"/>
  <c r="AT301" i="8"/>
  <c r="AT300" i="8"/>
  <c r="AT299" i="8"/>
  <c r="AV303" i="8" s="1"/>
  <c r="AT298" i="8"/>
  <c r="AT297" i="8"/>
  <c r="AT296" i="8"/>
  <c r="AT295" i="8"/>
  <c r="AT294" i="8"/>
  <c r="AT293" i="8"/>
  <c r="AT292" i="8"/>
  <c r="AT291" i="8"/>
  <c r="AT290" i="8"/>
  <c r="AU289" i="8"/>
  <c r="AT289" i="8"/>
  <c r="AU288" i="8"/>
  <c r="AT288" i="8"/>
  <c r="AU287" i="8"/>
  <c r="AT287" i="8"/>
  <c r="AU286" i="8"/>
  <c r="AT286" i="8"/>
  <c r="AT285" i="8"/>
  <c r="AT284" i="8"/>
  <c r="AU283" i="8"/>
  <c r="AT283" i="8"/>
  <c r="AT282" i="8"/>
  <c r="AT281" i="8"/>
  <c r="AT280" i="8"/>
  <c r="AT279" i="8"/>
  <c r="AT278" i="8"/>
  <c r="AT277" i="8"/>
  <c r="AT276" i="8"/>
  <c r="AT275" i="8"/>
  <c r="AT274" i="8"/>
  <c r="AT273" i="8"/>
  <c r="AT272" i="8"/>
  <c r="AT271" i="8"/>
  <c r="AT270" i="8"/>
  <c r="AU269" i="8"/>
  <c r="AT269" i="8"/>
  <c r="AU268" i="8"/>
  <c r="AT268" i="8"/>
  <c r="AU267" i="8"/>
  <c r="AT267" i="8"/>
  <c r="AU266" i="8"/>
  <c r="AT266" i="8"/>
  <c r="AT265" i="8"/>
  <c r="AT264" i="8"/>
  <c r="AU263" i="8"/>
  <c r="AT263" i="8"/>
  <c r="AT262" i="8"/>
  <c r="AT261" i="8"/>
  <c r="AT260" i="8"/>
  <c r="AT259" i="8"/>
  <c r="AT258" i="8"/>
  <c r="AT257" i="8"/>
  <c r="AT256" i="8"/>
  <c r="AT255" i="8"/>
  <c r="AT254" i="8"/>
  <c r="AT253" i="8"/>
  <c r="AT252" i="8"/>
  <c r="AT251" i="8"/>
  <c r="AT250" i="8"/>
  <c r="AU249" i="8"/>
  <c r="AT249" i="8"/>
  <c r="AU248" i="8"/>
  <c r="AT248" i="8"/>
  <c r="AU247" i="8"/>
  <c r="AT247" i="8"/>
  <c r="AU246" i="8"/>
  <c r="AT246" i="8"/>
  <c r="AT245" i="8"/>
  <c r="AT244" i="8"/>
  <c r="AU243" i="8"/>
  <c r="AT243" i="8"/>
  <c r="AT242" i="8"/>
  <c r="AT241" i="8"/>
  <c r="AT240" i="8"/>
  <c r="AT239" i="8"/>
  <c r="AV243" i="8" s="1"/>
  <c r="AT238" i="8"/>
  <c r="AT237" i="8"/>
  <c r="AT236" i="8"/>
  <c r="AT235" i="8"/>
  <c r="AT234" i="8"/>
  <c r="BI233" i="8"/>
  <c r="AT233" i="8"/>
  <c r="AT232" i="8"/>
  <c r="AT231" i="8"/>
  <c r="AT230" i="8"/>
  <c r="AU229" i="8"/>
  <c r="AT229" i="8"/>
  <c r="BI228" i="8"/>
  <c r="AU228" i="8"/>
  <c r="AT228" i="8"/>
  <c r="AU227" i="8"/>
  <c r="AT227" i="8"/>
  <c r="AU226" i="8"/>
  <c r="AT226" i="8"/>
  <c r="AT225" i="8"/>
  <c r="AT224" i="8"/>
  <c r="BI223" i="8"/>
  <c r="AU223" i="8"/>
  <c r="AT223" i="8"/>
  <c r="AT222" i="8"/>
  <c r="AT221" i="8"/>
  <c r="AT220" i="8"/>
  <c r="AT219" i="8"/>
  <c r="BI218" i="8"/>
  <c r="AT218" i="8"/>
  <c r="AT217" i="8"/>
  <c r="AT216" i="8"/>
  <c r="AT215" i="8"/>
  <c r="AT214" i="8"/>
  <c r="BI213" i="8"/>
  <c r="AT213" i="8"/>
  <c r="AT212" i="8"/>
  <c r="AT211" i="8"/>
  <c r="AT210" i="8"/>
  <c r="AV209" i="8"/>
  <c r="AT209" i="8"/>
  <c r="BI208" i="8"/>
  <c r="AV208" i="8"/>
  <c r="AT208" i="8"/>
  <c r="AV207" i="8"/>
  <c r="AT207" i="8"/>
  <c r="AV206" i="8"/>
  <c r="AT206" i="8"/>
  <c r="AU205" i="8"/>
  <c r="AT205" i="8"/>
  <c r="AU204" i="8"/>
  <c r="AT204" i="8"/>
  <c r="BI203" i="8"/>
  <c r="AU203" i="8"/>
  <c r="AT203" i="8"/>
  <c r="AU202" i="8"/>
  <c r="AT202" i="8"/>
  <c r="AT201" i="8"/>
  <c r="AT200" i="8"/>
  <c r="AT199" i="8"/>
  <c r="BI198" i="8"/>
  <c r="AT198" i="8"/>
  <c r="AT197" i="8"/>
  <c r="AT196" i="8"/>
  <c r="AT195" i="8"/>
  <c r="AT194" i="8"/>
  <c r="BI193" i="8"/>
  <c r="AT193" i="8"/>
  <c r="AT192" i="8"/>
  <c r="AT191" i="8"/>
  <c r="AT190" i="8"/>
  <c r="AW189" i="8"/>
  <c r="AV189" i="8"/>
  <c r="AT189" i="8"/>
  <c r="BI188" i="8"/>
  <c r="AT188" i="8"/>
  <c r="AV187" i="8"/>
  <c r="AT187" i="8"/>
  <c r="AV186" i="8"/>
  <c r="AT186" i="8"/>
  <c r="AU185" i="8"/>
  <c r="AT185" i="8"/>
  <c r="AU184" i="8"/>
  <c r="AT184" i="8"/>
  <c r="AU183" i="8"/>
  <c r="AT183" i="8"/>
  <c r="AU182" i="8"/>
  <c r="AT182" i="8"/>
  <c r="AT181" i="8"/>
  <c r="AT180" i="8"/>
  <c r="AT179" i="8"/>
  <c r="AT178" i="8"/>
  <c r="AT177" i="8"/>
  <c r="AT176" i="8"/>
  <c r="AT175" i="8"/>
  <c r="AT174" i="8"/>
  <c r="AT173" i="8"/>
  <c r="AT172" i="8"/>
  <c r="AT171" i="8"/>
  <c r="AT170" i="8"/>
  <c r="AV169" i="8"/>
  <c r="AT169" i="8"/>
  <c r="AV168" i="8"/>
  <c r="AT168" i="8"/>
  <c r="AV167" i="8"/>
  <c r="AT167" i="8"/>
  <c r="AV166" i="8"/>
  <c r="AT166" i="8"/>
  <c r="AU165" i="8"/>
  <c r="AT165" i="8"/>
  <c r="AU164" i="8"/>
  <c r="AT164" i="8"/>
  <c r="AU163" i="8"/>
  <c r="AT163" i="8"/>
  <c r="AU162" i="8"/>
  <c r="AT162" i="8"/>
  <c r="AT161" i="8"/>
  <c r="AT160" i="8"/>
  <c r="AT159" i="8"/>
  <c r="AT158" i="8"/>
  <c r="AT157" i="8"/>
  <c r="AT156" i="8"/>
  <c r="AT155" i="8"/>
  <c r="AT154" i="8"/>
  <c r="AT153" i="8"/>
  <c r="AT152" i="8"/>
  <c r="AT151" i="8"/>
  <c r="AT150" i="8"/>
  <c r="AV149" i="8"/>
  <c r="AT149" i="8"/>
  <c r="AT148" i="8"/>
  <c r="AT147" i="8"/>
  <c r="AV146" i="8"/>
  <c r="AT146" i="8"/>
  <c r="AU145" i="8"/>
  <c r="AT145" i="8"/>
  <c r="AU144" i="8"/>
  <c r="AT144" i="8"/>
  <c r="AU143" i="8"/>
  <c r="AT143" i="8"/>
  <c r="AU142" i="8"/>
  <c r="AT142" i="8"/>
  <c r="AT141" i="8"/>
  <c r="AT140" i="8"/>
  <c r="AT139" i="8"/>
  <c r="AT138" i="8"/>
  <c r="AT137" i="8"/>
  <c r="AT136" i="8"/>
  <c r="AT135" i="8"/>
  <c r="AT134" i="8"/>
  <c r="AV133" i="8"/>
  <c r="AU132" i="8" s="1"/>
  <c r="AT133" i="8"/>
  <c r="AT132" i="8"/>
  <c r="AT131" i="8"/>
  <c r="AT130" i="8"/>
  <c r="AW129" i="8"/>
  <c r="AV129" i="8"/>
  <c r="AU128" i="8" s="1"/>
  <c r="AT129" i="8"/>
  <c r="AT128" i="8"/>
  <c r="AT127" i="8"/>
  <c r="AW126" i="8"/>
  <c r="AT126" i="8"/>
  <c r="AU125" i="8"/>
  <c r="AT125" i="8"/>
  <c r="AU124" i="8"/>
  <c r="AT124" i="8"/>
  <c r="AU123" i="8"/>
  <c r="AT123" i="8"/>
  <c r="AU122" i="8"/>
  <c r="AT122" i="8"/>
  <c r="AT121" i="8"/>
  <c r="AT120" i="8"/>
  <c r="AT119" i="8"/>
  <c r="AT118" i="8"/>
  <c r="AT117" i="8"/>
  <c r="AT116" i="8"/>
  <c r="AT115" i="8"/>
  <c r="AT114" i="8"/>
  <c r="AV113" i="8"/>
  <c r="AU112" i="8" s="1"/>
  <c r="AT113" i="8"/>
  <c r="AT112" i="8"/>
  <c r="AT111" i="8"/>
  <c r="AT110" i="8"/>
  <c r="AW109" i="8"/>
  <c r="AV109" i="8"/>
  <c r="AU108" i="8" s="1"/>
  <c r="AT109" i="8"/>
  <c r="AT108" i="8"/>
  <c r="AT107" i="8"/>
  <c r="AW106" i="8"/>
  <c r="AT106" i="8"/>
  <c r="AU105" i="8"/>
  <c r="AT105" i="8"/>
  <c r="AU104" i="8"/>
  <c r="AT104" i="8"/>
  <c r="AU103" i="8"/>
  <c r="AT103" i="8"/>
  <c r="AU102" i="8"/>
  <c r="AT102" i="8"/>
  <c r="AT101" i="8"/>
  <c r="AT100" i="8"/>
  <c r="AT99" i="8"/>
  <c r="AT98" i="8"/>
  <c r="AT97" i="8"/>
  <c r="AT96" i="8"/>
  <c r="AT95" i="8"/>
  <c r="AT94" i="8"/>
  <c r="AV93" i="8"/>
  <c r="AU92" i="8" s="1"/>
  <c r="AT93" i="8"/>
  <c r="AT92" i="8"/>
  <c r="AT91" i="8"/>
  <c r="AT90" i="8"/>
  <c r="AV89" i="8"/>
  <c r="AU88" i="8" s="1"/>
  <c r="AT89" i="8"/>
  <c r="AT88" i="8"/>
  <c r="AT87" i="8"/>
  <c r="AT86" i="8"/>
  <c r="AU85" i="8"/>
  <c r="AT85" i="8"/>
  <c r="AU84" i="8"/>
  <c r="AT84" i="8"/>
  <c r="AU83" i="8"/>
  <c r="AT83" i="8"/>
  <c r="AU82" i="8"/>
  <c r="AT82" i="8"/>
  <c r="AT81" i="8"/>
  <c r="AT80" i="8"/>
  <c r="AT79" i="8"/>
  <c r="AT78" i="8"/>
  <c r="AT77" i="8"/>
  <c r="AT76" i="8"/>
  <c r="AT75" i="8"/>
  <c r="AT74" i="8"/>
  <c r="AV73" i="8"/>
  <c r="AU72" i="8" s="1"/>
  <c r="AT73" i="8"/>
  <c r="AT72" i="8"/>
  <c r="AT71" i="8"/>
  <c r="AT70" i="8"/>
  <c r="AV69" i="8"/>
  <c r="AU68" i="8" s="1"/>
  <c r="AT69" i="8"/>
  <c r="AT68" i="8"/>
  <c r="AT67" i="8"/>
  <c r="AT66" i="8"/>
  <c r="AU65" i="8"/>
  <c r="AT65" i="8"/>
  <c r="AU64" i="8"/>
  <c r="AT64" i="8"/>
  <c r="AU63" i="8"/>
  <c r="AT63" i="8"/>
  <c r="AU62" i="8"/>
  <c r="AT62" i="8"/>
  <c r="AT61" i="8"/>
  <c r="AT60" i="8"/>
  <c r="AT59" i="8"/>
  <c r="AT58" i="8"/>
  <c r="AT57" i="8"/>
  <c r="AT56" i="8"/>
  <c r="AT55" i="8"/>
  <c r="AT54" i="8"/>
  <c r="AV53" i="8"/>
  <c r="AU52" i="8" s="1"/>
  <c r="AT53" i="8"/>
  <c r="AT52" i="8"/>
  <c r="AT51" i="8"/>
  <c r="AT50" i="8"/>
  <c r="AV49" i="8"/>
  <c r="AU48" i="8" s="1"/>
  <c r="AT49" i="8"/>
  <c r="AT48" i="8"/>
  <c r="AT47" i="8"/>
  <c r="AT46" i="8"/>
  <c r="AU45" i="8"/>
  <c r="AT45" i="8"/>
  <c r="AU44" i="8"/>
  <c r="AT44" i="8"/>
  <c r="AU43" i="8"/>
  <c r="AT43" i="8"/>
  <c r="AU42" i="8"/>
  <c r="AT42" i="8"/>
  <c r="AT41" i="8"/>
  <c r="AT40" i="8"/>
  <c r="AT39" i="8"/>
  <c r="AT38" i="8"/>
  <c r="AU17" i="8"/>
  <c r="AT17" i="8"/>
  <c r="AS17" i="8"/>
  <c r="AR17" i="8"/>
  <c r="AQ17" i="8"/>
  <c r="AP17" i="8"/>
  <c r="AO17" i="8"/>
  <c r="AN17" i="8"/>
  <c r="AM17" i="8"/>
  <c r="AL17" i="8"/>
  <c r="AK17" i="8"/>
  <c r="AU16" i="8"/>
  <c r="AT16" i="8"/>
  <c r="AS16" i="8"/>
  <c r="AR16" i="8"/>
  <c r="AQ16" i="8"/>
  <c r="AP16" i="8"/>
  <c r="AO16" i="8"/>
  <c r="AN16" i="8"/>
  <c r="AM16" i="8"/>
  <c r="AL16" i="8"/>
  <c r="AK16" i="8"/>
  <c r="AU15" i="8"/>
  <c r="AT15" i="8"/>
  <c r="AS15" i="8"/>
  <c r="AR15" i="8"/>
  <c r="AQ15" i="8"/>
  <c r="AP15" i="8"/>
  <c r="AO15" i="8"/>
  <c r="AN15" i="8"/>
  <c r="AM15" i="8"/>
  <c r="AL15" i="8"/>
  <c r="AK15" i="8"/>
  <c r="AU14" i="8"/>
  <c r="AT14" i="8"/>
  <c r="AS14" i="8"/>
  <c r="AR14" i="8"/>
  <c r="AQ14" i="8"/>
  <c r="AP14" i="8"/>
  <c r="AO14" i="8"/>
  <c r="AN14" i="8"/>
  <c r="AM14" i="8"/>
  <c r="AL14" i="8"/>
  <c r="AK14" i="8"/>
  <c r="AU13" i="8"/>
  <c r="AT13" i="8"/>
  <c r="AS13" i="8"/>
  <c r="AR13" i="8"/>
  <c r="AQ13" i="8"/>
  <c r="AP13" i="8"/>
  <c r="AO13" i="8"/>
  <c r="AN13" i="8"/>
  <c r="AM13" i="8"/>
  <c r="AL13" i="8"/>
  <c r="AK13" i="8"/>
  <c r="AU12" i="8"/>
  <c r="AT12" i="8"/>
  <c r="AS12" i="8"/>
  <c r="AR12" i="8"/>
  <c r="AQ12" i="8"/>
  <c r="AP12" i="8"/>
  <c r="AO12" i="8"/>
  <c r="AN12" i="8"/>
  <c r="AM12" i="8"/>
  <c r="AL12" i="8"/>
  <c r="AK12" i="8"/>
  <c r="AU11" i="8"/>
  <c r="AT11" i="8"/>
  <c r="AS11" i="8"/>
  <c r="AR11" i="8"/>
  <c r="AQ11" i="8"/>
  <c r="AP11" i="8"/>
  <c r="AO11" i="8"/>
  <c r="AN11" i="8"/>
  <c r="AM11" i="8"/>
  <c r="AL11" i="8"/>
  <c r="AK11" i="8"/>
  <c r="AU10" i="8"/>
  <c r="AT10" i="8"/>
  <c r="AS10" i="8"/>
  <c r="AR10" i="8"/>
  <c r="AQ10" i="8"/>
  <c r="AP10" i="8"/>
  <c r="AO10" i="8"/>
  <c r="AN10" i="8"/>
  <c r="AM10" i="8"/>
  <c r="AL10" i="8"/>
  <c r="AK10" i="8"/>
  <c r="AC127" i="10"/>
  <c r="AB127" i="10"/>
  <c r="AA127" i="10"/>
  <c r="Z127" i="10"/>
  <c r="Y127" i="10"/>
  <c r="X127" i="10"/>
  <c r="W127" i="10"/>
  <c r="V127" i="10"/>
  <c r="AC141" i="10"/>
  <c r="AC131" i="10" s="1"/>
  <c r="AB141" i="10"/>
  <c r="AB131" i="10" s="1"/>
  <c r="AA141" i="10"/>
  <c r="AA131" i="10" s="1"/>
  <c r="Z141" i="10"/>
  <c r="Z131" i="10" s="1"/>
  <c r="Y141" i="10"/>
  <c r="Y131" i="10" s="1"/>
  <c r="X141" i="10"/>
  <c r="X131" i="10" s="1"/>
  <c r="W141" i="10"/>
  <c r="W131" i="10" s="1"/>
  <c r="V141" i="10"/>
  <c r="V131" i="10" s="1"/>
  <c r="U141" i="10"/>
  <c r="U131" i="10" s="1"/>
  <c r="T141" i="10"/>
  <c r="T131" i="10" s="1"/>
  <c r="AC140" i="10"/>
  <c r="AC130" i="10" s="1"/>
  <c r="AB140" i="10"/>
  <c r="AB130" i="10" s="1"/>
  <c r="AA140" i="10"/>
  <c r="AA130" i="10" s="1"/>
  <c r="Z140" i="10"/>
  <c r="Z130" i="10" s="1"/>
  <c r="Y140" i="10"/>
  <c r="Y130" i="10" s="1"/>
  <c r="X140" i="10"/>
  <c r="X130" i="10" s="1"/>
  <c r="W140" i="10"/>
  <c r="W130" i="10" s="1"/>
  <c r="V140" i="10"/>
  <c r="V130" i="10" s="1"/>
  <c r="U140" i="10"/>
  <c r="U130" i="10" s="1"/>
  <c r="T140" i="10"/>
  <c r="AC135" i="10"/>
  <c r="Y135" i="10"/>
  <c r="BO135" i="1"/>
  <c r="BK135" i="1"/>
  <c r="BJ135" i="1"/>
  <c r="BM135" i="1" s="1"/>
  <c r="BI135" i="1"/>
  <c r="AR135" i="1" s="1"/>
  <c r="BH135" i="1"/>
  <c r="AO135" i="1" s="1"/>
  <c r="BG135" i="1"/>
  <c r="AN135" i="1" s="1"/>
  <c r="BF135" i="1"/>
  <c r="BE135" i="1"/>
  <c r="BD135" i="1"/>
  <c r="BC135" i="1"/>
  <c r="AW135" i="1" s="1"/>
  <c r="BB135" i="1"/>
  <c r="AV135" i="1" s="1"/>
  <c r="BA135" i="1"/>
  <c r="AP135" i="1" s="1"/>
  <c r="AU135" i="1"/>
  <c r="AT135" i="1"/>
  <c r="AS135" i="1"/>
  <c r="BO134" i="1"/>
  <c r="BK134" i="1"/>
  <c r="BJ134" i="1"/>
  <c r="BN134" i="1" s="1"/>
  <c r="AZ134" i="1" s="1"/>
  <c r="BI134" i="1"/>
  <c r="AR134" i="1" s="1"/>
  <c r="BH134" i="1"/>
  <c r="AO134" i="1" s="1"/>
  <c r="BG134" i="1"/>
  <c r="AN134" i="1" s="1"/>
  <c r="BF134" i="1"/>
  <c r="BE134" i="1"/>
  <c r="BD134" i="1"/>
  <c r="BC134" i="1"/>
  <c r="AW134" i="1" s="1"/>
  <c r="BB134" i="1"/>
  <c r="AV134" i="1" s="1"/>
  <c r="BA134" i="1"/>
  <c r="AP134" i="1" s="1"/>
  <c r="AU134" i="1"/>
  <c r="AT134" i="1"/>
  <c r="AS134" i="1"/>
  <c r="BO133" i="1"/>
  <c r="BK133" i="1"/>
  <c r="BJ133" i="1"/>
  <c r="BN133" i="1" s="1"/>
  <c r="AZ133" i="1" s="1"/>
  <c r="BI133" i="1"/>
  <c r="AR133" i="1" s="1"/>
  <c r="BH133" i="1"/>
  <c r="AO133" i="1" s="1"/>
  <c r="BG133" i="1"/>
  <c r="AN133" i="1" s="1"/>
  <c r="BF133" i="1"/>
  <c r="BE133" i="1"/>
  <c r="BD133" i="1"/>
  <c r="BC133" i="1"/>
  <c r="AW133" i="1" s="1"/>
  <c r="BB133" i="1"/>
  <c r="AQ133" i="1" s="1"/>
  <c r="BA133" i="1"/>
  <c r="AP133" i="1" s="1"/>
  <c r="AU133" i="1"/>
  <c r="AT133" i="1"/>
  <c r="AS133" i="1"/>
  <c r="BO132" i="1"/>
  <c r="BK132" i="1"/>
  <c r="BJ132" i="1"/>
  <c r="BN132" i="1" s="1"/>
  <c r="AZ132" i="1" s="1"/>
  <c r="BI132" i="1"/>
  <c r="AR132" i="1" s="1"/>
  <c r="BH132" i="1"/>
  <c r="AO132" i="1" s="1"/>
  <c r="BG132" i="1"/>
  <c r="AL132" i="1" s="1"/>
  <c r="BF132" i="1"/>
  <c r="BE132" i="1"/>
  <c r="BD132" i="1"/>
  <c r="BC132" i="1"/>
  <c r="AW132" i="1" s="1"/>
  <c r="BB132" i="1"/>
  <c r="AV132" i="1" s="1"/>
  <c r="BA132" i="1"/>
  <c r="AP132" i="1" s="1"/>
  <c r="AU132" i="1"/>
  <c r="AT132" i="1"/>
  <c r="AS132" i="1"/>
  <c r="BO131" i="1"/>
  <c r="BK131" i="1"/>
  <c r="BJ131" i="1"/>
  <c r="BN131" i="1" s="1"/>
  <c r="AZ131" i="1" s="1"/>
  <c r="BI131" i="1"/>
  <c r="AR131" i="1" s="1"/>
  <c r="BH131" i="1"/>
  <c r="AM131" i="1" s="1"/>
  <c r="BG131" i="1"/>
  <c r="AN131" i="1" s="1"/>
  <c r="BF131" i="1"/>
  <c r="BE131" i="1"/>
  <c r="BD131" i="1"/>
  <c r="BC131" i="1"/>
  <c r="AW131" i="1" s="1"/>
  <c r="BB131" i="1"/>
  <c r="AV131" i="1" s="1"/>
  <c r="BA131" i="1"/>
  <c r="AP131" i="1" s="1"/>
  <c r="AU131" i="1"/>
  <c r="AT131" i="1"/>
  <c r="AS131" i="1"/>
  <c r="BO130" i="1"/>
  <c r="BK130" i="1"/>
  <c r="BJ130" i="1"/>
  <c r="BN130" i="1" s="1"/>
  <c r="AZ130" i="1" s="1"/>
  <c r="BI130" i="1"/>
  <c r="AR130" i="1" s="1"/>
  <c r="BH130" i="1"/>
  <c r="AO130" i="1" s="1"/>
  <c r="BG130" i="1"/>
  <c r="AL130" i="1" s="1"/>
  <c r="BF130" i="1"/>
  <c r="BE130" i="1"/>
  <c r="BD130" i="1"/>
  <c r="BC130" i="1"/>
  <c r="AW130" i="1" s="1"/>
  <c r="BB130" i="1"/>
  <c r="AV130" i="1" s="1"/>
  <c r="BA130" i="1"/>
  <c r="AP130" i="1" s="1"/>
  <c r="AU130" i="1"/>
  <c r="AT130" i="1"/>
  <c r="AS130" i="1"/>
  <c r="BO129" i="1"/>
  <c r="BK129" i="1"/>
  <c r="BJ129" i="1"/>
  <c r="BN129" i="1" s="1"/>
  <c r="AZ129" i="1" s="1"/>
  <c r="BI129" i="1"/>
  <c r="AR129" i="1" s="1"/>
  <c r="BH129" i="1"/>
  <c r="AO129" i="1" s="1"/>
  <c r="BG129" i="1"/>
  <c r="AN129" i="1" s="1"/>
  <c r="BF129" i="1"/>
  <c r="BE129" i="1"/>
  <c r="BD129" i="1"/>
  <c r="BC129" i="1"/>
  <c r="AW129" i="1" s="1"/>
  <c r="BB129" i="1"/>
  <c r="AV129" i="1" s="1"/>
  <c r="BA129" i="1"/>
  <c r="AP129" i="1" s="1"/>
  <c r="AU129" i="1"/>
  <c r="AT129" i="1"/>
  <c r="AS129" i="1"/>
  <c r="E71" i="1"/>
  <c r="C71" i="1"/>
  <c r="B71" i="1"/>
  <c r="BO128" i="1"/>
  <c r="BK128" i="1"/>
  <c r="BJ128" i="1"/>
  <c r="BN128" i="1" s="1"/>
  <c r="AZ128" i="1" s="1"/>
  <c r="BI128" i="1"/>
  <c r="BH128" i="1"/>
  <c r="AO128" i="1" s="1"/>
  <c r="BG128" i="1"/>
  <c r="AN128" i="1" s="1"/>
  <c r="BF128" i="1"/>
  <c r="BE128" i="1"/>
  <c r="BD128" i="1"/>
  <c r="BC128" i="1"/>
  <c r="AW128" i="1" s="1"/>
  <c r="BB128" i="1"/>
  <c r="AV128" i="1" s="1"/>
  <c r="BA128" i="1"/>
  <c r="AP128" i="1" s="1"/>
  <c r="AU128" i="1"/>
  <c r="AT128" i="1"/>
  <c r="AS128" i="1"/>
  <c r="AR128" i="1"/>
  <c r="E70" i="1"/>
  <c r="C70" i="1"/>
  <c r="B70" i="1"/>
  <c r="BO127" i="1"/>
  <c r="BK127" i="1"/>
  <c r="BJ127" i="1"/>
  <c r="BN127" i="1" s="1"/>
  <c r="AZ127" i="1" s="1"/>
  <c r="BI127" i="1"/>
  <c r="AR127" i="1" s="1"/>
  <c r="BH127" i="1"/>
  <c r="AO127" i="1" s="1"/>
  <c r="BG127" i="1"/>
  <c r="AL127" i="1" s="1"/>
  <c r="BF127" i="1"/>
  <c r="BE127" i="1"/>
  <c r="BD127" i="1"/>
  <c r="BC127" i="1"/>
  <c r="AW127" i="1" s="1"/>
  <c r="BB127" i="1"/>
  <c r="AV127" i="1" s="1"/>
  <c r="BA127" i="1"/>
  <c r="AP127" i="1" s="1"/>
  <c r="AU127" i="1"/>
  <c r="AT127" i="1"/>
  <c r="AS127" i="1"/>
  <c r="BO126" i="1"/>
  <c r="BK126" i="1"/>
  <c r="BJ126" i="1"/>
  <c r="BN126" i="1" s="1"/>
  <c r="AZ126" i="1" s="1"/>
  <c r="BI126" i="1"/>
  <c r="AR126" i="1" s="1"/>
  <c r="BH126" i="1"/>
  <c r="AO126" i="1" s="1"/>
  <c r="BG126" i="1"/>
  <c r="AN126" i="1" s="1"/>
  <c r="BF126" i="1"/>
  <c r="BE126" i="1"/>
  <c r="BD126" i="1"/>
  <c r="BC126" i="1"/>
  <c r="AW126" i="1" s="1"/>
  <c r="BB126" i="1"/>
  <c r="AV126" i="1" s="1"/>
  <c r="BA126" i="1"/>
  <c r="AP126" i="1" s="1"/>
  <c r="AU126" i="1"/>
  <c r="AT126" i="1"/>
  <c r="AS126" i="1"/>
  <c r="BO125" i="1"/>
  <c r="BK125" i="1"/>
  <c r="BJ125" i="1"/>
  <c r="BI125" i="1"/>
  <c r="AR125" i="1" s="1"/>
  <c r="BH125" i="1"/>
  <c r="AM125" i="1" s="1"/>
  <c r="BG125" i="1"/>
  <c r="AL125" i="1" s="1"/>
  <c r="BD125" i="1"/>
  <c r="BC125" i="1"/>
  <c r="AW125" i="1" s="1"/>
  <c r="BB125" i="1"/>
  <c r="AQ125" i="1" s="1"/>
  <c r="BA125" i="1"/>
  <c r="AP125" i="1" s="1"/>
  <c r="BO124" i="1"/>
  <c r="BK124" i="1"/>
  <c r="BJ124" i="1"/>
  <c r="BI124" i="1"/>
  <c r="AR124" i="1" s="1"/>
  <c r="BH124" i="1"/>
  <c r="AM124" i="1" s="1"/>
  <c r="BG124" i="1"/>
  <c r="AN124" i="1" s="1"/>
  <c r="BC124" i="1"/>
  <c r="AW124" i="1" s="1"/>
  <c r="AY124" i="1" s="1"/>
  <c r="BB124" i="1"/>
  <c r="AQ124" i="1" s="1"/>
  <c r="BA124" i="1"/>
  <c r="AP124" i="1" s="1"/>
  <c r="BO123" i="1"/>
  <c r="BK123" i="1"/>
  <c r="BJ123" i="1"/>
  <c r="BI123" i="1"/>
  <c r="AR123" i="1" s="1"/>
  <c r="BG123" i="1"/>
  <c r="AL123" i="1" s="1"/>
  <c r="BC123" i="1"/>
  <c r="AW123" i="1" s="1"/>
  <c r="BB123" i="1"/>
  <c r="AV123" i="1" s="1"/>
  <c r="BA123" i="1"/>
  <c r="AP123" i="1" s="1"/>
  <c r="E57" i="1"/>
  <c r="C57" i="1"/>
  <c r="B57" i="1"/>
  <c r="AH77" i="1"/>
  <c r="AG77" i="1"/>
  <c r="AF77" i="1"/>
  <c r="AE77" i="1"/>
  <c r="AD77" i="1"/>
  <c r="AC77" i="1"/>
  <c r="AB77" i="1"/>
  <c r="AA77" i="1"/>
  <c r="Z77" i="1"/>
  <c r="Y77" i="1"/>
  <c r="Y58" i="1" s="1"/>
  <c r="AH76" i="1"/>
  <c r="AG76" i="1"/>
  <c r="AF76" i="1"/>
  <c r="AE76" i="1"/>
  <c r="AD76" i="1"/>
  <c r="AC76" i="1"/>
  <c r="AB76" i="1"/>
  <c r="AA76" i="1"/>
  <c r="Z76" i="1"/>
  <c r="Y76" i="1"/>
  <c r="Y57" i="1" s="1"/>
  <c r="AH72" i="1"/>
  <c r="AH64" i="1" s="1"/>
  <c r="AG72" i="1"/>
  <c r="AG64" i="1" s="1"/>
  <c r="AF72" i="1"/>
  <c r="AF64" i="1" s="1"/>
  <c r="AE72" i="1"/>
  <c r="AD72" i="1"/>
  <c r="AD64" i="1" s="1"/>
  <c r="AC72" i="1"/>
  <c r="AC64" i="1" s="1"/>
  <c r="AB72" i="1"/>
  <c r="AB64" i="1" s="1"/>
  <c r="AA72" i="1"/>
  <c r="Z72" i="1"/>
  <c r="Z64" i="1" s="1"/>
  <c r="Y72" i="1"/>
  <c r="Y64" i="1" s="1"/>
  <c r="AH71" i="1"/>
  <c r="AH63" i="1" s="1"/>
  <c r="AG71" i="1"/>
  <c r="AG63" i="1" s="1"/>
  <c r="AF71" i="1"/>
  <c r="AF63" i="1" s="1"/>
  <c r="AE71" i="1"/>
  <c r="AE63" i="1" s="1"/>
  <c r="AD71" i="1"/>
  <c r="AD63" i="1" s="1"/>
  <c r="AC71" i="1"/>
  <c r="AC63" i="1" s="1"/>
  <c r="AB71" i="1"/>
  <c r="AB63" i="1" s="1"/>
  <c r="AA71" i="1"/>
  <c r="AA63" i="1" s="1"/>
  <c r="Z71" i="1"/>
  <c r="Z63" i="1" s="1"/>
  <c r="AH70" i="1"/>
  <c r="AG70" i="1"/>
  <c r="AF70" i="1"/>
  <c r="AE70" i="1"/>
  <c r="AD70" i="1"/>
  <c r="AC70" i="1"/>
  <c r="AB70" i="1"/>
  <c r="AA70" i="1"/>
  <c r="Z70" i="1"/>
  <c r="Y70" i="1"/>
  <c r="Y62" i="1" s="1"/>
  <c r="E30" i="5"/>
  <c r="E27" i="5"/>
  <c r="E29" i="5" s="1"/>
  <c r="E22" i="5"/>
  <c r="E21" i="5"/>
  <c r="E23" i="5" s="1"/>
  <c r="E15" i="5"/>
  <c r="E17" i="5" s="1"/>
  <c r="E9" i="5"/>
  <c r="E3" i="5"/>
  <c r="E5" i="5" s="1"/>
  <c r="D21" i="3"/>
  <c r="D20" i="3"/>
  <c r="BD124" i="1" s="1"/>
  <c r="D19" i="3"/>
  <c r="BE125" i="1" s="1"/>
  <c r="C18" i="3"/>
  <c r="D18" i="3" s="1"/>
  <c r="C17" i="3"/>
  <c r="D17" i="3" s="1"/>
  <c r="C16" i="3"/>
  <c r="D16" i="3" s="1"/>
  <c r="D15" i="3"/>
  <c r="D14" i="3"/>
  <c r="D13" i="3"/>
  <c r="D10" i="3"/>
  <c r="D9" i="3"/>
  <c r="D20" i="7" s="1"/>
  <c r="D8" i="3"/>
  <c r="D7" i="3"/>
  <c r="D6" i="3"/>
  <c r="D5" i="3"/>
  <c r="D4" i="3"/>
  <c r="C19" i="7" s="1"/>
  <c r="U127" i="10" l="1"/>
  <c r="AG65" i="1"/>
  <c r="AG66" i="1"/>
  <c r="E4" i="5"/>
  <c r="E16" i="5"/>
  <c r="E24" i="5"/>
  <c r="S22" i="2"/>
  <c r="E18" i="5"/>
  <c r="T6" i="2"/>
  <c r="AR6" i="2"/>
  <c r="AT7" i="2"/>
  <c r="AR12" i="2"/>
  <c r="T15" i="2"/>
  <c r="AR20" i="2"/>
  <c r="E28" i="5"/>
  <c r="AU6" i="2"/>
  <c r="AT8" i="2"/>
  <c r="I10" i="2"/>
  <c r="AU10" i="2" s="1"/>
  <c r="AU12" i="2"/>
  <c r="AT14" i="2"/>
  <c r="AR16" i="2"/>
  <c r="AT17" i="2"/>
  <c r="AR17" i="2"/>
  <c r="AR18" i="2"/>
  <c r="T19" i="2"/>
  <c r="AR8" i="2"/>
  <c r="AT9" i="2"/>
  <c r="AR9" i="2"/>
  <c r="AR10" i="2"/>
  <c r="AT11" i="2"/>
  <c r="T13" i="2"/>
  <c r="AR14" i="2"/>
  <c r="AV14" i="2"/>
  <c r="AV15" i="2"/>
  <c r="AT16" i="2"/>
  <c r="AR19" i="2"/>
  <c r="AR36" i="2"/>
  <c r="AB186" i="10"/>
  <c r="AT125" i="1"/>
  <c r="AX125" i="1" s="1"/>
  <c r="AO125" i="1"/>
  <c r="AL134" i="1"/>
  <c r="AX126" i="1"/>
  <c r="BM126" i="1"/>
  <c r="AY127" i="1"/>
  <c r="BM127" i="1"/>
  <c r="AY132" i="1"/>
  <c r="BM132" i="1"/>
  <c r="AL135" i="1"/>
  <c r="AQ126" i="1"/>
  <c r="AO131" i="1"/>
  <c r="AQ132" i="1"/>
  <c r="AX132" i="1"/>
  <c r="Z65" i="1"/>
  <c r="AX133" i="1"/>
  <c r="BM133" i="1"/>
  <c r="AD65" i="1"/>
  <c r="AH65" i="1"/>
  <c r="AQ130" i="1"/>
  <c r="AE65" i="1"/>
  <c r="AC66" i="1"/>
  <c r="AY123" i="1"/>
  <c r="AX128" i="1"/>
  <c r="AQ129" i="1"/>
  <c r="AX130" i="1"/>
  <c r="AF65" i="1"/>
  <c r="AF66" i="1"/>
  <c r="AQ123" i="1"/>
  <c r="AQ127" i="1"/>
  <c r="AX127" i="1"/>
  <c r="AX129" i="1"/>
  <c r="BM129" i="1"/>
  <c r="AV133" i="1"/>
  <c r="AM129" i="1"/>
  <c r="AM132" i="1"/>
  <c r="AB66" i="1"/>
  <c r="AO124" i="1"/>
  <c r="BM124" i="1"/>
  <c r="AS125" i="1"/>
  <c r="AM126" i="1"/>
  <c r="AL128" i="1"/>
  <c r="AM130" i="1"/>
  <c r="AM133" i="1"/>
  <c r="AM135" i="1"/>
  <c r="AV124" i="1"/>
  <c r="AM127" i="1"/>
  <c r="AY131" i="1"/>
  <c r="BL131" i="1"/>
  <c r="AY134" i="1"/>
  <c r="AA64" i="1"/>
  <c r="AA66" i="1"/>
  <c r="AE64" i="1"/>
  <c r="AE66" i="1"/>
  <c r="AV125" i="1"/>
  <c r="BL123" i="1"/>
  <c r="BF124" i="1"/>
  <c r="AU124" i="1" s="1"/>
  <c r="AX124" i="1" s="1"/>
  <c r="BF123" i="1"/>
  <c r="AU123" i="1" s="1"/>
  <c r="AX123" i="1" s="1"/>
  <c r="E11" i="5"/>
  <c r="E10" i="5"/>
  <c r="BF125" i="1"/>
  <c r="AU125" i="1" s="1"/>
  <c r="BN125" i="1"/>
  <c r="AZ125" i="1" s="1"/>
  <c r="D19" i="7"/>
  <c r="U128" i="10"/>
  <c r="U164" i="10"/>
  <c r="U149" i="10" s="1"/>
  <c r="AR5" i="2"/>
  <c r="AR7" i="2"/>
  <c r="T8" i="2"/>
  <c r="AV8" i="2"/>
  <c r="AR11" i="2"/>
  <c r="T127" i="10"/>
  <c r="T163" i="10"/>
  <c r="T148" i="10" s="1"/>
  <c r="T171" i="10" s="1"/>
  <c r="T12" i="2"/>
  <c r="AT15" i="2"/>
  <c r="AD66" i="1"/>
  <c r="AH66" i="1"/>
  <c r="BD123" i="1"/>
  <c r="AS123" i="1" s="1"/>
  <c r="BH123" i="1"/>
  <c r="AY126" i="1"/>
  <c r="BL126" i="1"/>
  <c r="AY129" i="1"/>
  <c r="BL129" i="1"/>
  <c r="AY130" i="1"/>
  <c r="BM130" i="1"/>
  <c r="AQ131" i="1"/>
  <c r="BM131" i="1"/>
  <c r="AL133" i="1"/>
  <c r="AY133" i="1"/>
  <c r="BL133" i="1"/>
  <c r="AM134" i="1"/>
  <c r="AQ134" i="1"/>
  <c r="AX135" i="1"/>
  <c r="B20" i="7"/>
  <c r="T9" i="2"/>
  <c r="AV9" i="2"/>
  <c r="T164" i="10"/>
  <c r="T149" i="10" s="1"/>
  <c r="T128" i="10"/>
  <c r="AV16" i="2"/>
  <c r="AV17" i="2"/>
  <c r="BE123" i="1"/>
  <c r="AT123" i="1" s="1"/>
  <c r="AS124" i="1"/>
  <c r="BM125" i="1"/>
  <c r="AQ135" i="1"/>
  <c r="AY135" i="1"/>
  <c r="B19" i="7"/>
  <c r="C20" i="7"/>
  <c r="AT5" i="2"/>
  <c r="AV6" i="2"/>
  <c r="AT12" i="2"/>
  <c r="BE124" i="1"/>
  <c r="AT124" i="1" s="1"/>
  <c r="BN123" i="1"/>
  <c r="AZ123" i="1" s="1"/>
  <c r="BL124" i="1"/>
  <c r="AX131" i="1"/>
  <c r="AX134" i="1"/>
  <c r="T5" i="2"/>
  <c r="Y66" i="1"/>
  <c r="AC65" i="1"/>
  <c r="AB65" i="1"/>
  <c r="T130" i="10"/>
  <c r="T134" i="10" s="1"/>
  <c r="AN123" i="1"/>
  <c r="AL124" i="1"/>
  <c r="BN124" i="1"/>
  <c r="AZ124" i="1" s="1"/>
  <c r="AN125" i="1"/>
  <c r="BL125" i="1"/>
  <c r="AL126" i="1"/>
  <c r="AN127" i="1"/>
  <c r="BL127" i="1"/>
  <c r="AM128" i="1"/>
  <c r="AQ128" i="1"/>
  <c r="AY128" i="1"/>
  <c r="AL129" i="1"/>
  <c r="AN130" i="1"/>
  <c r="BL130" i="1"/>
  <c r="AL131" i="1"/>
  <c r="AN132" i="1"/>
  <c r="BL132" i="1"/>
  <c r="BL134" i="1"/>
  <c r="BN135" i="1"/>
  <c r="AZ135" i="1" s="1"/>
  <c r="BL128" i="1"/>
  <c r="BM134" i="1"/>
  <c r="BM128" i="1"/>
  <c r="BL135" i="1"/>
  <c r="Z66" i="1"/>
  <c r="AA65" i="1"/>
  <c r="Y89" i="1"/>
  <c r="Y81" i="1"/>
  <c r="Y65" i="1"/>
  <c r="Y63" i="1"/>
  <c r="Y67" i="1" s="1"/>
  <c r="Y90" i="1"/>
  <c r="Y87" i="1"/>
  <c r="Y86" i="1"/>
  <c r="Y88" i="1"/>
  <c r="AW209" i="8"/>
  <c r="W134" i="10"/>
  <c r="W135" i="10"/>
  <c r="Z134" i="10"/>
  <c r="T135" i="10"/>
  <c r="AA134" i="10"/>
  <c r="AB134" i="10"/>
  <c r="Y134" i="10"/>
  <c r="AC134" i="10"/>
  <c r="BK216" i="8"/>
  <c r="X135" i="10"/>
  <c r="AB135" i="10"/>
  <c r="AO18" i="8"/>
  <c r="AS18" i="8"/>
  <c r="AM20" i="8"/>
  <c r="AQ20" i="8"/>
  <c r="AU20" i="8"/>
  <c r="AN20" i="8"/>
  <c r="AM18" i="8"/>
  <c r="AQ18" i="8"/>
  <c r="AU18" i="8"/>
  <c r="AR18" i="8"/>
  <c r="AV283" i="8"/>
  <c r="AR20" i="8"/>
  <c r="AX109" i="8"/>
  <c r="AW149" i="8"/>
  <c r="AV245" i="8"/>
  <c r="AV223" i="8"/>
  <c r="AV282" i="8"/>
  <c r="AV242" i="8"/>
  <c r="AV302" i="8"/>
  <c r="AL18" i="8"/>
  <c r="AP18" i="8"/>
  <c r="V117" i="10" s="1"/>
  <c r="V116" i="10" s="1"/>
  <c r="V120" i="10" s="1"/>
  <c r="AT18" i="8"/>
  <c r="AO20" i="8"/>
  <c r="AS20" i="8"/>
  <c r="AM19" i="8"/>
  <c r="AQ19" i="8"/>
  <c r="AU19" i="8"/>
  <c r="AN19" i="8"/>
  <c r="AR19" i="8"/>
  <c r="AV224" i="8"/>
  <c r="AV225" i="8"/>
  <c r="AV262" i="8"/>
  <c r="AV265" i="8"/>
  <c r="AV305" i="8"/>
  <c r="AV263" i="8"/>
  <c r="AV284" i="8"/>
  <c r="AN18" i="8"/>
  <c r="AL20" i="8"/>
  <c r="AP20" i="8"/>
  <c r="AT20" i="8"/>
  <c r="AO19" i="8"/>
  <c r="AS19" i="8"/>
  <c r="AL19" i="8"/>
  <c r="AP19" i="8"/>
  <c r="E12" i="5"/>
  <c r="AX129" i="8"/>
  <c r="AW169" i="8"/>
  <c r="AV222" i="8"/>
  <c r="AV244" i="8"/>
  <c r="AV264" i="8"/>
  <c r="AV285" i="8"/>
  <c r="AV304" i="8"/>
  <c r="U134" i="10"/>
  <c r="AA135" i="10"/>
  <c r="V134" i="10"/>
  <c r="X134" i="10"/>
  <c r="V135" i="10"/>
  <c r="Z135" i="10"/>
  <c r="Y68" i="1" l="1"/>
  <c r="Y92" i="1" s="1"/>
  <c r="D28" i="7"/>
  <c r="F28" i="1"/>
  <c r="F26" i="1"/>
  <c r="F25" i="1" s="1"/>
  <c r="I26" i="1"/>
  <c r="I25" i="1" s="1"/>
  <c r="F27" i="1"/>
  <c r="E27" i="1"/>
  <c r="G26" i="1"/>
  <c r="G25" i="1" s="1"/>
  <c r="H26" i="1"/>
  <c r="H25" i="1" s="1"/>
  <c r="E28" i="1"/>
  <c r="E26" i="1"/>
  <c r="E25" i="1" s="1"/>
  <c r="D31" i="7"/>
  <c r="B28" i="7"/>
  <c r="C28" i="7"/>
  <c r="C27" i="7"/>
  <c r="J29" i="7"/>
  <c r="I29" i="7"/>
  <c r="D5" i="7"/>
  <c r="AO123" i="1"/>
  <c r="AM123" i="1"/>
  <c r="B6" i="7" s="1"/>
  <c r="D27" i="7"/>
  <c r="T170" i="10"/>
  <c r="T169" i="10"/>
  <c r="B31" i="7"/>
  <c r="C56" i="1"/>
  <c r="C64" i="1" s="1"/>
  <c r="BM123" i="1"/>
  <c r="T172" i="10"/>
  <c r="AR22" i="2"/>
  <c r="K29" i="7"/>
  <c r="C31" i="7"/>
  <c r="B27" i="7"/>
  <c r="AY125" i="1"/>
  <c r="H20" i="2"/>
  <c r="T175" i="10"/>
  <c r="T174" i="10"/>
  <c r="Y91" i="1"/>
  <c r="G27" i="1" s="1"/>
  <c r="B56" i="1"/>
  <c r="D12" i="7"/>
  <c r="C12" i="7"/>
  <c r="B12" i="7"/>
  <c r="C5" i="7"/>
  <c r="K30" i="7"/>
  <c r="J30" i="7"/>
  <c r="I30" i="7"/>
  <c r="E56" i="1"/>
  <c r="B5" i="7"/>
  <c r="E6" i="5"/>
  <c r="T117" i="10"/>
  <c r="T116" i="10" s="1"/>
  <c r="T120" i="10" s="1"/>
  <c r="AB117" i="10"/>
  <c r="W117" i="10"/>
  <c r="W116" i="10" s="1"/>
  <c r="W120" i="10" s="1"/>
  <c r="U117" i="10"/>
  <c r="U116" i="10" s="1"/>
  <c r="U120" i="10" s="1"/>
  <c r="AA117" i="10"/>
  <c r="Y117" i="10"/>
  <c r="Z117" i="10"/>
  <c r="X117" i="10"/>
  <c r="AC117" i="10"/>
  <c r="T177" i="10" l="1"/>
  <c r="T180" i="10" s="1"/>
  <c r="T178" i="10"/>
  <c r="T181" i="10" s="1"/>
  <c r="T176" i="10"/>
  <c r="T179" i="10" s="1"/>
  <c r="D85" i="10"/>
  <c r="C85" i="10"/>
  <c r="D67" i="10"/>
  <c r="D66" i="10" s="1"/>
  <c r="D87" i="10"/>
  <c r="D83" i="10"/>
  <c r="C67" i="10"/>
  <c r="C83" i="10"/>
  <c r="C87" i="10"/>
  <c r="H27" i="1"/>
  <c r="G28" i="1"/>
  <c r="I27" i="1"/>
  <c r="I28" i="1"/>
  <c r="I33" i="1" s="1"/>
  <c r="H34" i="1"/>
  <c r="I34" i="1"/>
  <c r="H28" i="1"/>
  <c r="H33" i="1" s="1"/>
  <c r="D41" i="7"/>
  <c r="C7" i="7"/>
  <c r="C8" i="7" s="1"/>
  <c r="C9" i="7" s="1"/>
  <c r="C58" i="1"/>
  <c r="C59" i="1" s="1"/>
  <c r="C60" i="1" s="1"/>
  <c r="D7" i="7"/>
  <c r="D8" i="7" s="1"/>
  <c r="D9" i="7" s="1"/>
  <c r="C65" i="1"/>
  <c r="B7" i="7"/>
  <c r="B8" i="7" s="1"/>
  <c r="B9" i="7" s="1"/>
  <c r="T182" i="10"/>
  <c r="D6" i="7"/>
  <c r="C6" i="7"/>
  <c r="B13" i="7"/>
  <c r="B14" i="7" s="1"/>
  <c r="D13" i="7"/>
  <c r="D14" i="7" s="1"/>
  <c r="C13" i="7"/>
  <c r="C14" i="7" s="1"/>
  <c r="C15" i="7" s="1"/>
  <c r="C16" i="7" s="1"/>
  <c r="T20" i="2"/>
  <c r="T22" i="2" s="1"/>
  <c r="AT20" i="2"/>
  <c r="T183" i="10"/>
  <c r="Y93" i="1"/>
  <c r="AB94" i="1" s="1"/>
  <c r="Y94" i="1"/>
  <c r="Y97" i="1" s="1"/>
  <c r="Z97" i="1" s="1"/>
  <c r="Y95" i="1"/>
  <c r="AB93" i="1" s="1"/>
  <c r="E64" i="1"/>
  <c r="E65" i="1"/>
  <c r="E58" i="1"/>
  <c r="B65" i="1"/>
  <c r="B64" i="1"/>
  <c r="B58" i="1"/>
  <c r="AD87" i="1"/>
  <c r="AD86" i="1"/>
  <c r="B41" i="7"/>
  <c r="C41" i="7"/>
  <c r="AC116" i="10"/>
  <c r="AC120" i="10" s="1"/>
  <c r="Y116" i="10"/>
  <c r="Y120" i="10" s="1"/>
  <c r="AB116" i="10"/>
  <c r="AB120" i="10" s="1"/>
  <c r="AA116" i="10"/>
  <c r="AA120" i="10" s="1"/>
  <c r="X116" i="10"/>
  <c r="X120" i="10" s="1"/>
  <c r="Z116" i="10"/>
  <c r="Z120" i="10" s="1"/>
  <c r="C69" i="10" l="1"/>
  <c r="C66" i="10"/>
  <c r="D69" i="10"/>
  <c r="C66" i="1"/>
  <c r="C72" i="1" s="1"/>
  <c r="Y96" i="1"/>
  <c r="B42" i="7"/>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D21" i="7"/>
  <c r="D29" i="7" s="1"/>
  <c r="G29" i="7" s="1"/>
  <c r="D15" i="7"/>
  <c r="D16" i="7" s="1"/>
  <c r="C21" i="7"/>
  <c r="C29" i="7" s="1"/>
  <c r="C32" i="7" s="1"/>
  <c r="B21" i="7"/>
  <c r="B29" i="7" s="1"/>
  <c r="E29" i="7" s="1"/>
  <c r="B15" i="7"/>
  <c r="B16" i="7" s="1"/>
  <c r="C42" i="7"/>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Y98" i="1"/>
  <c r="H35" i="1" s="1"/>
  <c r="D42" i="7"/>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D67" i="7" s="1"/>
  <c r="D68" i="7" s="1"/>
  <c r="D69" i="7" s="1"/>
  <c r="D70" i="7" s="1"/>
  <c r="D71" i="7" s="1"/>
  <c r="D72" i="7" s="1"/>
  <c r="D73" i="7" s="1"/>
  <c r="D74" i="7" s="1"/>
  <c r="D75" i="7" s="1"/>
  <c r="D76" i="7" s="1"/>
  <c r="D77" i="7" s="1"/>
  <c r="D78" i="7" s="1"/>
  <c r="D79" i="7" s="1"/>
  <c r="D80" i="7" s="1"/>
  <c r="D81" i="7" s="1"/>
  <c r="D82" i="7" s="1"/>
  <c r="D83" i="7" s="1"/>
  <c r="D84" i="7" s="1"/>
  <c r="D85" i="7" s="1"/>
  <c r="D86" i="7" s="1"/>
  <c r="D87" i="7" s="1"/>
  <c r="D88" i="7" s="1"/>
  <c r="D89" i="7" s="1"/>
  <c r="D90" i="7" s="1"/>
  <c r="D91" i="7" s="1"/>
  <c r="D92" i="7" s="1"/>
  <c r="D93" i="7" s="1"/>
  <c r="D94" i="7" s="1"/>
  <c r="D95" i="7" s="1"/>
  <c r="D96" i="7" s="1"/>
  <c r="D97" i="7" s="1"/>
  <c r="D98" i="7" s="1"/>
  <c r="D99" i="7" s="1"/>
  <c r="D100" i="7" s="1"/>
  <c r="D101" i="7" s="1"/>
  <c r="E59" i="1"/>
  <c r="E60" i="1" s="1"/>
  <c r="E66" i="1"/>
  <c r="E72" i="1" s="1"/>
  <c r="B66" i="1"/>
  <c r="B72" i="1" s="1"/>
  <c r="B59" i="1"/>
  <c r="B60" i="1" s="1"/>
  <c r="D32" i="7"/>
  <c r="T122" i="10"/>
  <c r="E68" i="10" l="1"/>
  <c r="B38" i="1"/>
  <c r="I35" i="1"/>
  <c r="E76" i="10"/>
  <c r="Z96" i="1"/>
  <c r="I36" i="10"/>
  <c r="Z98" i="1"/>
  <c r="B32" i="7"/>
  <c r="B33" i="7" s="1"/>
  <c r="B34" i="7" s="1"/>
  <c r="E34" i="7" s="1"/>
  <c r="F29" i="7"/>
  <c r="U171" i="10"/>
  <c r="D33" i="7"/>
  <c r="D34" i="7" s="1"/>
  <c r="G34" i="7" s="1"/>
  <c r="C33" i="7"/>
  <c r="C34" i="7" s="1"/>
  <c r="F34" i="7" s="1"/>
  <c r="Y168" i="10"/>
  <c r="U169" i="10"/>
  <c r="E67" i="10" s="1"/>
  <c r="E66" i="10" s="1"/>
  <c r="W187" i="10"/>
  <c r="U170" i="10"/>
  <c r="I68" i="10" l="1"/>
  <c r="E83" i="10"/>
  <c r="E69" i="10"/>
  <c r="G68" i="10"/>
  <c r="H68" i="10"/>
  <c r="A36" i="7"/>
  <c r="V149" i="10"/>
  <c r="U172" i="10" s="1"/>
  <c r="F67" i="10" s="1"/>
  <c r="E87" i="10" l="1"/>
  <c r="B90" i="10" s="1"/>
  <c r="F66" i="10"/>
  <c r="E85" i="10"/>
  <c r="U177" i="10"/>
  <c r="W188" i="10" s="1"/>
  <c r="W189" i="10" s="1"/>
  <c r="W190" i="10" s="1"/>
  <c r="W191" i="10" s="1"/>
  <c r="W192" i="10" s="1"/>
  <c r="W193" i="10" s="1"/>
  <c r="W194" i="10" s="1"/>
  <c r="W195" i="10" s="1"/>
  <c r="W196" i="10" s="1"/>
  <c r="W197" i="10" s="1"/>
  <c r="W198" i="10" s="1"/>
  <c r="W199" i="10" s="1"/>
  <c r="W200" i="10" s="1"/>
  <c r="W201" i="10" s="1"/>
  <c r="W202" i="10" s="1"/>
  <c r="W203" i="10" s="1"/>
  <c r="W204" i="10" s="1"/>
  <c r="W205" i="10" s="1"/>
  <c r="W206" i="10" s="1"/>
  <c r="W207" i="10" s="1"/>
  <c r="W208" i="10" s="1"/>
  <c r="W209" i="10" s="1"/>
  <c r="W210" i="10" s="1"/>
  <c r="W211" i="10" s="1"/>
  <c r="W212" i="10" s="1"/>
  <c r="W213" i="10" s="1"/>
  <c r="W214" i="10" s="1"/>
  <c r="W215" i="10" s="1"/>
  <c r="W216" i="10" s="1"/>
  <c r="W217" i="10" s="1"/>
  <c r="W218" i="10" s="1"/>
  <c r="W219" i="10" s="1"/>
  <c r="W220" i="10" s="1"/>
  <c r="W221" i="10" s="1"/>
  <c r="W222" i="10" s="1"/>
  <c r="W223" i="10" s="1"/>
  <c r="W224" i="10" s="1"/>
  <c r="W225" i="10" s="1"/>
  <c r="W226" i="10" s="1"/>
  <c r="W227" i="10" s="1"/>
  <c r="W228" i="10" s="1"/>
  <c r="W229" i="10" s="1"/>
  <c r="W230" i="10" s="1"/>
  <c r="W231" i="10" s="1"/>
  <c r="W232" i="10" s="1"/>
  <c r="W233" i="10" s="1"/>
  <c r="W234" i="10" s="1"/>
  <c r="W235" i="10" s="1"/>
  <c r="W236" i="10" s="1"/>
  <c r="W237" i="10" s="1"/>
  <c r="W238" i="10" s="1"/>
  <c r="W239" i="10" s="1"/>
  <c r="W240" i="10" s="1"/>
  <c r="W241" i="10" s="1"/>
  <c r="W242" i="10" s="1"/>
  <c r="W243" i="10" s="1"/>
  <c r="W244" i="10" s="1"/>
  <c r="W245" i="10" s="1"/>
  <c r="W246" i="10" s="1"/>
  <c r="W247" i="10" s="1"/>
  <c r="U183" i="10"/>
  <c r="U182" i="10"/>
  <c r="H69" i="10"/>
  <c r="U176" i="10"/>
  <c r="I69" i="10" s="1"/>
  <c r="U178" i="10"/>
  <c r="F69" i="10" l="1"/>
  <c r="H67" i="10"/>
  <c r="H66" i="10" s="1"/>
  <c r="G67" i="10"/>
  <c r="G66" i="10" s="1"/>
  <c r="I67" i="10"/>
  <c r="I66" i="10" s="1"/>
  <c r="G69" i="10"/>
  <c r="C75" i="10" s="1"/>
  <c r="C77" i="10" s="1"/>
  <c r="D75" i="10"/>
  <c r="D77" i="10" s="1"/>
  <c r="U181" i="10"/>
  <c r="E75" i="10"/>
  <c r="E77" i="10" s="1"/>
  <c r="B91" i="10"/>
  <c r="D91" i="10"/>
  <c r="U179" i="10"/>
  <c r="U180" i="10"/>
  <c r="T188" i="10"/>
  <c r="V188" i="10"/>
  <c r="V189" i="10" s="1"/>
  <c r="V190" i="10" s="1"/>
  <c r="V191" i="10" s="1"/>
  <c r="V192" i="10" s="1"/>
  <c r="V193" i="10" s="1"/>
  <c r="V194" i="10" s="1"/>
  <c r="V195" i="10" s="1"/>
  <c r="V196" i="10" s="1"/>
  <c r="V197" i="10" s="1"/>
  <c r="V198" i="10" s="1"/>
  <c r="V199" i="10" s="1"/>
  <c r="V200" i="10" s="1"/>
  <c r="V201" i="10" s="1"/>
  <c r="V202" i="10" s="1"/>
  <c r="V203" i="10" s="1"/>
  <c r="V204" i="10" s="1"/>
  <c r="V205" i="10" s="1"/>
  <c r="V206" i="10" s="1"/>
  <c r="V207" i="10" s="1"/>
  <c r="V208" i="10" s="1"/>
  <c r="V209" i="10" s="1"/>
  <c r="V210" i="10" s="1"/>
  <c r="V211" i="10" s="1"/>
  <c r="V212" i="10" s="1"/>
  <c r="V213" i="10" s="1"/>
  <c r="V214" i="10" s="1"/>
  <c r="V215" i="10" s="1"/>
  <c r="V216" i="10" s="1"/>
  <c r="V217" i="10" s="1"/>
  <c r="V218" i="10" s="1"/>
  <c r="V219" i="10" s="1"/>
  <c r="V220" i="10" s="1"/>
  <c r="V221" i="10" s="1"/>
  <c r="V222" i="10" s="1"/>
  <c r="V223" i="10" s="1"/>
  <c r="V224" i="10" s="1"/>
  <c r="V225" i="10" s="1"/>
  <c r="V226" i="10" s="1"/>
  <c r="V227" i="10" s="1"/>
  <c r="V228" i="10" s="1"/>
  <c r="V229" i="10" s="1"/>
  <c r="V230" i="10" s="1"/>
  <c r="V231" i="10" s="1"/>
  <c r="V232" i="10" s="1"/>
  <c r="V233" i="10" s="1"/>
  <c r="V234" i="10" s="1"/>
  <c r="V235" i="10" s="1"/>
  <c r="V236" i="10" s="1"/>
  <c r="V237" i="10" s="1"/>
  <c r="V238" i="10" s="1"/>
  <c r="V239" i="10" s="1"/>
  <c r="V240" i="10" s="1"/>
  <c r="V241" i="10" s="1"/>
  <c r="V242" i="10" s="1"/>
  <c r="V243" i="10" s="1"/>
  <c r="V244" i="10" s="1"/>
  <c r="V245" i="10" s="1"/>
  <c r="V246" i="10" s="1"/>
  <c r="V247" i="10" s="1"/>
  <c r="U188" i="10"/>
  <c r="U189" i="10" s="1"/>
  <c r="U190" i="10" s="1"/>
  <c r="U191" i="10" s="1"/>
  <c r="U192" i="10" s="1"/>
  <c r="U193" i="10" s="1"/>
  <c r="U194" i="10" s="1"/>
  <c r="U195" i="10" s="1"/>
  <c r="U196" i="10" s="1"/>
  <c r="U197" i="10" s="1"/>
  <c r="U198" i="10" s="1"/>
  <c r="U199" i="10" s="1"/>
  <c r="U200" i="10" s="1"/>
  <c r="U201" i="10" s="1"/>
  <c r="U202" i="10" s="1"/>
  <c r="U203" i="10" s="1"/>
  <c r="U204" i="10" s="1"/>
  <c r="U205" i="10" s="1"/>
  <c r="U206" i="10" s="1"/>
  <c r="U207" i="10" s="1"/>
  <c r="U208" i="10" s="1"/>
  <c r="U209" i="10" s="1"/>
  <c r="U210" i="10" s="1"/>
  <c r="U211" i="10" s="1"/>
  <c r="U212" i="10" s="1"/>
  <c r="U213" i="10" s="1"/>
  <c r="U214" i="10" s="1"/>
  <c r="U215" i="10" s="1"/>
  <c r="U216" i="10" s="1"/>
  <c r="U217" i="10" s="1"/>
  <c r="U218" i="10" s="1"/>
  <c r="U219" i="10" s="1"/>
  <c r="U220" i="10" s="1"/>
  <c r="U221" i="10" s="1"/>
  <c r="U222" i="10" s="1"/>
  <c r="U223" i="10" s="1"/>
  <c r="U224" i="10" s="1"/>
  <c r="U225" i="10" s="1"/>
  <c r="U226" i="10" s="1"/>
  <c r="U227" i="10" s="1"/>
  <c r="U228" i="10" s="1"/>
  <c r="U229" i="10" s="1"/>
  <c r="U230" i="10" s="1"/>
  <c r="U231" i="10" s="1"/>
  <c r="U232" i="10" s="1"/>
  <c r="U233" i="10" s="1"/>
  <c r="U234" i="10" s="1"/>
  <c r="U235" i="10" s="1"/>
  <c r="U236" i="10" s="1"/>
  <c r="U237" i="10" s="1"/>
  <c r="U238" i="10" s="1"/>
  <c r="U239" i="10" s="1"/>
  <c r="U240" i="10" s="1"/>
  <c r="U241" i="10" s="1"/>
  <c r="U242" i="10" s="1"/>
  <c r="U243" i="10" s="1"/>
  <c r="U244" i="10" s="1"/>
  <c r="U245" i="10" s="1"/>
  <c r="U246" i="10" s="1"/>
  <c r="U247" i="10" s="1"/>
  <c r="H95" i="10" l="1"/>
  <c r="T189" i="10"/>
  <c r="T190" i="10" s="1"/>
  <c r="T191" i="10" s="1"/>
  <c r="T192" i="10" s="1"/>
  <c r="T193" i="10" s="1"/>
  <c r="T194" i="10" s="1"/>
  <c r="T195" i="10" s="1"/>
  <c r="T196" i="10" s="1"/>
  <c r="T197" i="10" s="1"/>
  <c r="T198" i="10" s="1"/>
  <c r="T199" i="10" s="1"/>
  <c r="T200" i="10" s="1"/>
  <c r="T201" i="10" s="1"/>
  <c r="T202" i="10" s="1"/>
  <c r="T203" i="10" s="1"/>
  <c r="T204" i="10" s="1"/>
  <c r="T205" i="10" s="1"/>
  <c r="T206" i="10" s="1"/>
  <c r="T207" i="10" s="1"/>
  <c r="T208" i="10" s="1"/>
  <c r="T209" i="10" s="1"/>
  <c r="T210" i="10" s="1"/>
  <c r="T211" i="10" s="1"/>
  <c r="T212" i="10" s="1"/>
  <c r="T213" i="10" s="1"/>
  <c r="T214" i="10" s="1"/>
  <c r="T215" i="10" s="1"/>
  <c r="T216" i="10" s="1"/>
  <c r="T217" i="10" s="1"/>
  <c r="T218" i="10" s="1"/>
  <c r="T219" i="10" s="1"/>
  <c r="T220" i="10" s="1"/>
  <c r="T221" i="10" s="1"/>
  <c r="T222" i="10" s="1"/>
  <c r="T223" i="10" s="1"/>
  <c r="T224" i="10" s="1"/>
  <c r="T225" i="10" s="1"/>
  <c r="T226" i="10" s="1"/>
  <c r="T227" i="10" s="1"/>
  <c r="T228" i="10" s="1"/>
  <c r="T229" i="10" s="1"/>
  <c r="T230" i="10" s="1"/>
  <c r="T231" i="10" s="1"/>
  <c r="T232" i="10" s="1"/>
  <c r="T233" i="10" s="1"/>
  <c r="T234" i="10" s="1"/>
  <c r="T235" i="10" s="1"/>
  <c r="T236" i="10" s="1"/>
  <c r="T237" i="10" s="1"/>
  <c r="T238" i="10" s="1"/>
  <c r="T239" i="10" s="1"/>
  <c r="T240" i="10" s="1"/>
  <c r="T241" i="10" s="1"/>
  <c r="T242" i="10" s="1"/>
  <c r="T243" i="10" s="1"/>
  <c r="T244" i="10" s="1"/>
  <c r="T245" i="10" s="1"/>
  <c r="T246" i="10" s="1"/>
  <c r="T247" i="10" s="1"/>
</calcChain>
</file>

<file path=xl/comments1.xml><?xml version="1.0" encoding="utf-8"?>
<comments xmlns="http://schemas.openxmlformats.org/spreadsheetml/2006/main">
  <authors>
    <author>Brandon Noel</author>
  </authors>
  <commentList>
    <comment ref="B11" authorId="0" shapeId="0">
      <text>
        <r>
          <rPr>
            <b/>
            <u/>
            <sz val="9"/>
            <color indexed="81"/>
            <rFont val="Tahoma"/>
            <family val="2"/>
          </rPr>
          <t>Tool Type Directions:</t>
        </r>
        <r>
          <rPr>
            <sz val="9"/>
            <color indexed="81"/>
            <rFont val="Tahoma"/>
            <family val="2"/>
          </rPr>
          <t xml:space="preserve">
Select one of the commonly used power tools with the drop-down. If you can't find a tool you would like to replace, the advanced calculator allows you to enter your own custom tool.</t>
        </r>
      </text>
    </comment>
    <comment ref="B12" authorId="0" shapeId="0">
      <text>
        <r>
          <rPr>
            <b/>
            <u/>
            <sz val="9"/>
            <color indexed="81"/>
            <rFont val="Tahoma"/>
            <family val="2"/>
          </rPr>
          <t>Quantity Directions:</t>
        </r>
        <r>
          <rPr>
            <sz val="9"/>
            <color indexed="81"/>
            <rFont val="Tahoma"/>
            <family val="2"/>
          </rPr>
          <t xml:space="preserve">
Type in the number of pneumatic power tools of this particular type that you are considering replacing with electric.</t>
        </r>
      </text>
    </comment>
    <comment ref="B13" authorId="0" shapeId="0">
      <text>
        <r>
          <rPr>
            <b/>
            <u/>
            <sz val="9"/>
            <color indexed="81"/>
            <rFont val="Tahoma"/>
            <family val="2"/>
          </rPr>
          <t>Hours Used Per Day Directions:</t>
        </r>
        <r>
          <rPr>
            <sz val="9"/>
            <color indexed="81"/>
            <rFont val="Tahoma"/>
            <family val="2"/>
          </rPr>
          <t xml:space="preserve">
Considering all of the power tools of this particular type, averaged over one business year, how many hours per day will one of these power tools be operating. In other words, how many hours per day will air be flowing through one tool of this type in order to run it. Answering this question is difficult, spend a moment considering all of the use cases of this tool type. After your consideration, type in your best estimate.</t>
        </r>
      </text>
    </comment>
    <comment ref="B14" authorId="0" shapeId="0">
      <text>
        <r>
          <rPr>
            <b/>
            <u/>
            <sz val="9"/>
            <color indexed="81"/>
            <rFont val="Tahoma"/>
            <family val="2"/>
          </rPr>
          <t>Days Used Per Year Directions:</t>
        </r>
        <r>
          <rPr>
            <sz val="9"/>
            <color indexed="81"/>
            <rFont val="Tahoma"/>
            <family val="2"/>
          </rPr>
          <t xml:space="preserve">
The number of operating days per year.</t>
        </r>
      </text>
    </comment>
    <comment ref="B15" authorId="0" shapeId="0">
      <text>
        <r>
          <rPr>
            <b/>
            <u/>
            <sz val="9"/>
            <color indexed="81"/>
            <rFont val="Tahoma"/>
            <family val="2"/>
          </rPr>
          <t>Replacement Type Directions:</t>
        </r>
        <r>
          <rPr>
            <sz val="9"/>
            <color indexed="81"/>
            <rFont val="Tahoma"/>
            <family val="2"/>
          </rPr>
          <t xml:space="preserve">
This calculator can take into account replacing some tool types with cordless and others with corded. Click the cell you would like to fill in and then use the drop-down to select either replacing that tool type with cordless (battery powered) electric tools or corded electric tools. If you are unsure about what you would like to replace your pneumatic tools with, the default is to replace them with corded electric tools.</t>
        </r>
      </text>
    </comment>
    <comment ref="K21" authorId="0" shapeId="0">
      <text>
        <r>
          <rPr>
            <b/>
            <u/>
            <sz val="9"/>
            <color indexed="81"/>
            <rFont val="Tahoma"/>
            <family val="2"/>
          </rPr>
          <t>Projected Savings Over Time Explanation:</t>
        </r>
        <r>
          <rPr>
            <sz val="9"/>
            <color indexed="81"/>
            <rFont val="Tahoma"/>
            <family val="2"/>
          </rPr>
          <t xml:space="preserve">
The amount of money you can expect to save from replacing your tools at any time between 0-5 years after the initial replacement. The vertical bars mark when the amount saved is equal to the amount invested, in other words the payback time.</t>
        </r>
      </text>
    </comment>
    <comment ref="B24" authorId="0" shapeId="0">
      <text>
        <r>
          <rPr>
            <b/>
            <u/>
            <sz val="9"/>
            <color indexed="81"/>
            <rFont val="Tahoma"/>
            <family val="2"/>
          </rPr>
          <t>Annual Electric Current Cost (Pneumatic Tools):</t>
        </r>
        <r>
          <rPr>
            <sz val="9"/>
            <color indexed="81"/>
            <rFont val="Tahoma"/>
            <family val="2"/>
          </rPr>
          <t xml:space="preserve">
The estimated annual electricity costs to operate the inputted pneumatic tools. A range is provided, based on both nearly ideal compressor system efficiency model ("high estimate"), and a low compressor system efficiency model ("low estimate"), that is about 5-20% less efficient than an average system efficiency level. The price per kWh used is $0.0702.
</t>
        </r>
        <r>
          <rPr>
            <b/>
            <u/>
            <sz val="9"/>
            <color indexed="81"/>
            <rFont val="Tahoma"/>
            <family val="2"/>
          </rPr>
          <t>Annual Electric Anticipated Cost (Electric Tools):</t>
        </r>
        <r>
          <rPr>
            <sz val="9"/>
            <color indexed="81"/>
            <rFont val="Tahoma"/>
            <family val="2"/>
          </rPr>
          <t xml:space="preserve">
The estimated electricity costs to operate the electric tools that will replace the pneumatics for one year. The price per kWh used is $0.0702.</t>
        </r>
      </text>
    </comment>
    <comment ref="B27" authorId="0" shapeId="0">
      <text>
        <r>
          <rPr>
            <b/>
            <u/>
            <sz val="9"/>
            <color indexed="81"/>
            <rFont val="Tahoma"/>
            <family val="2"/>
          </rPr>
          <t>Annualized Pneumatic Tool Replacement Cost:</t>
        </r>
        <r>
          <rPr>
            <sz val="9"/>
            <color indexed="81"/>
            <rFont val="Tahoma"/>
            <family val="2"/>
          </rPr>
          <t xml:space="preserve">
The annualized cost of buying new pneumatic tools because the previous tools needed to be replaced due to wear and tear.
</t>
        </r>
        <r>
          <rPr>
            <i/>
            <sz val="9"/>
            <color indexed="81"/>
            <rFont val="Tahoma"/>
            <family val="2"/>
          </rPr>
          <t>Pneumatic Tool Cost = (Initial Cost)*(Quantity)/(Lifetime in years)</t>
        </r>
        <r>
          <rPr>
            <sz val="9"/>
            <color indexed="81"/>
            <rFont val="Tahoma"/>
            <family val="2"/>
          </rPr>
          <t xml:space="preserve">
</t>
        </r>
        <r>
          <rPr>
            <b/>
            <u/>
            <sz val="9"/>
            <color indexed="81"/>
            <rFont val="Tahoma"/>
            <family val="2"/>
          </rPr>
          <t>Annualized Electric Tool Replacement Cost:</t>
        </r>
        <r>
          <rPr>
            <sz val="9"/>
            <color indexed="81"/>
            <rFont val="Tahoma"/>
            <family val="2"/>
          </rPr>
          <t xml:space="preserve">
The annualized cost of buying new electric tools because they needed to be replaced due to wear and tear.
</t>
        </r>
        <r>
          <rPr>
            <i/>
            <sz val="9"/>
            <color indexed="81"/>
            <rFont val="Tahoma"/>
            <family val="2"/>
          </rPr>
          <t>Electric Tool Cost = (Initial Cost)*(Quantity)/(Lifetime in years)</t>
        </r>
      </text>
    </comment>
    <comment ref="B28" authorId="0" shapeId="0">
      <text>
        <r>
          <rPr>
            <b/>
            <u/>
            <sz val="9"/>
            <color indexed="81"/>
            <rFont val="Tahoma"/>
            <family val="2"/>
          </rPr>
          <t>Total Projected Savings Explanation:</t>
        </r>
        <r>
          <rPr>
            <sz val="9"/>
            <color indexed="81"/>
            <rFont val="Tahoma"/>
            <family val="2"/>
          </rPr>
          <t xml:space="preserve">
The total amount of money per year you can expect to save by replacing your pneumatic tools with electric.</t>
        </r>
      </text>
    </comment>
    <comment ref="B32" authorId="0" shapeId="0">
      <text>
        <r>
          <rPr>
            <b/>
            <sz val="9"/>
            <color indexed="81"/>
            <rFont val="Tahoma"/>
            <family val="2"/>
          </rPr>
          <t>Brandon Noel:</t>
        </r>
        <r>
          <rPr>
            <sz val="9"/>
            <color indexed="81"/>
            <rFont val="Tahoma"/>
            <family val="2"/>
          </rPr>
          <t xml:space="preserve">
Total Projected Savings Explanation:
The total amount of money per year you can expect to save by replacing your pneumatic tools with electric.</t>
        </r>
      </text>
    </comment>
    <comment ref="B34" authorId="0" shapeId="0">
      <text>
        <r>
          <rPr>
            <b/>
            <sz val="9"/>
            <color indexed="81"/>
            <rFont val="Tahoma"/>
            <family val="2"/>
          </rPr>
          <t>Brandon Noel:</t>
        </r>
        <r>
          <rPr>
            <sz val="9"/>
            <color indexed="81"/>
            <rFont val="Tahoma"/>
            <family val="2"/>
          </rPr>
          <t xml:space="preserve">
Cost of New Electric Tools Explanation:
The initial cost to replace your pneumatic tools with electric.</t>
        </r>
      </text>
    </comment>
    <comment ref="B35" authorId="0" shapeId="0">
      <text>
        <r>
          <rPr>
            <b/>
            <sz val="9"/>
            <color indexed="81"/>
            <rFont val="Tahoma"/>
            <family val="2"/>
          </rPr>
          <t>Brandon Noel:</t>
        </r>
        <r>
          <rPr>
            <sz val="9"/>
            <color indexed="81"/>
            <rFont val="Tahoma"/>
            <family val="2"/>
          </rPr>
          <t xml:space="preserve">
Payback Time Explanation:
The number of months you can expect it will take before you break even on your investment of replacing your pneumatic tools with electric. Note that for every year after this period of time you will be saving an amount the total projected savings. This is because the cost difference between pneumatic and electric tools from buying new ones due to wear and tear has already been calculated into the total projected savings.</t>
        </r>
      </text>
    </comment>
    <comment ref="B55" authorId="0" shapeId="0">
      <text>
        <r>
          <rPr>
            <b/>
            <sz val="9"/>
            <color indexed="81"/>
            <rFont val="Tahoma"/>
            <family val="2"/>
          </rPr>
          <t>Brandon Noel:</t>
        </r>
        <r>
          <rPr>
            <sz val="9"/>
            <color indexed="81"/>
            <rFont val="Tahoma"/>
            <family val="2"/>
          </rPr>
          <t xml:space="preserve">
Low effificiency system</t>
        </r>
      </text>
    </comment>
    <comment ref="C55" authorId="0" shapeId="0">
      <text>
        <r>
          <rPr>
            <b/>
            <sz val="9"/>
            <color indexed="81"/>
            <rFont val="Tahoma"/>
            <family val="2"/>
          </rPr>
          <t>Brandon Noel:</t>
        </r>
        <r>
          <rPr>
            <sz val="9"/>
            <color indexed="81"/>
            <rFont val="Tahoma"/>
            <family val="2"/>
          </rPr>
          <t xml:space="preserve">
Moderate efficiency system
</t>
        </r>
      </text>
    </comment>
    <comment ref="E55" authorId="0" shapeId="0">
      <text>
        <r>
          <rPr>
            <b/>
            <sz val="9"/>
            <color indexed="81"/>
            <rFont val="Tahoma"/>
            <family val="2"/>
          </rPr>
          <t>Brandon Noel:</t>
        </r>
        <r>
          <rPr>
            <sz val="9"/>
            <color indexed="81"/>
            <rFont val="Tahoma"/>
            <family val="2"/>
          </rPr>
          <t xml:space="preserve">
High efficiency system</t>
        </r>
      </text>
    </comment>
    <comment ref="X55" authorId="0" shapeId="0">
      <text>
        <r>
          <rPr>
            <b/>
            <sz val="9"/>
            <color indexed="81"/>
            <rFont val="Tahoma"/>
            <family val="2"/>
          </rPr>
          <t>Brandon Noel:</t>
        </r>
        <r>
          <rPr>
            <sz val="9"/>
            <color indexed="81"/>
            <rFont val="Tahoma"/>
            <family val="2"/>
          </rPr>
          <t xml:space="preserve">
The CFM for the tools listed are obtained through Grainger's catalog which contains many different suppliers. Additional CFM information was obtained directly from suppliers websites. The estimated CFM for each tool is an average of all the CFMs of that type of tool that was found.  If you would like to see how this calculation was done please go to the Sample Calculation sheet for more information.
This is calculated for the total quantity of tools used not tools replaced.</t>
        </r>
      </text>
    </comment>
    <comment ref="X56" authorId="0" shapeId="0">
      <text>
        <r>
          <rPr>
            <b/>
            <sz val="9"/>
            <color indexed="81"/>
            <rFont val="Tahoma"/>
            <family val="2"/>
          </rPr>
          <t>Brandon Noel:</t>
        </r>
        <r>
          <rPr>
            <sz val="9"/>
            <color indexed="81"/>
            <rFont val="Tahoma"/>
            <family val="2"/>
          </rPr>
          <t xml:space="preserve">
This is calculated for the total tools used not tools to be replaced.</t>
        </r>
      </text>
    </comment>
    <comment ref="X59" authorId="0" shapeId="0">
      <text>
        <r>
          <rPr>
            <b/>
            <sz val="9"/>
            <color indexed="81"/>
            <rFont val="Tahoma"/>
            <family val="2"/>
          </rPr>
          <t>Brandon Noel:</t>
        </r>
        <r>
          <rPr>
            <sz val="9"/>
            <color indexed="81"/>
            <rFont val="Tahoma"/>
            <family val="2"/>
          </rPr>
          <t xml:space="preserve">
The cost for the tools listed are obtained through Grainger's catalog which contains many different suppliers. Additional cost information was obtained directly from suppliers websites. The estimated cost for each tool is an average of all the costs of that type of tool that was found. </t>
        </r>
      </text>
    </comment>
    <comment ref="A60" authorId="0" shapeId="0">
      <text>
        <r>
          <rPr>
            <b/>
            <sz val="9"/>
            <color indexed="81"/>
            <rFont val="Tahoma"/>
            <family val="2"/>
          </rPr>
          <t>Brandon Noel:</t>
        </r>
        <r>
          <rPr>
            <sz val="9"/>
            <color indexed="81"/>
            <rFont val="Tahoma"/>
            <family val="2"/>
          </rPr>
          <t xml:space="preserve">
Source: EPA
https://www.epa.gov/energy/greenhouse-gas-equivalencies-calculator</t>
        </r>
      </text>
    </comment>
    <comment ref="X61" authorId="0" shapeId="0">
      <text>
        <r>
          <rPr>
            <b/>
            <sz val="9"/>
            <color indexed="81"/>
            <rFont val="Tahoma"/>
            <family val="2"/>
          </rPr>
          <t>Brandon Noel:</t>
        </r>
        <r>
          <rPr>
            <sz val="9"/>
            <color indexed="81"/>
            <rFont val="Tahoma"/>
            <family val="2"/>
          </rPr>
          <t xml:space="preserve">
Just the cost of the bare tool.</t>
        </r>
      </text>
    </comment>
    <comment ref="X62" authorId="0" shapeId="0">
      <text>
        <r>
          <rPr>
            <b/>
            <sz val="9"/>
            <color indexed="81"/>
            <rFont val="Tahoma"/>
            <family val="2"/>
          </rPr>
          <t>Brandon Noel:</t>
        </r>
        <r>
          <rPr>
            <sz val="9"/>
            <color indexed="81"/>
            <rFont val="Tahoma"/>
            <family val="2"/>
          </rPr>
          <t xml:space="preserve">
Uses the default value if no lifetime is entered for the specific tool. If a lifetime is entered then that lifetime is used over the default. </t>
        </r>
      </text>
    </comment>
    <comment ref="X63" authorId="0" shapeId="0">
      <text>
        <r>
          <rPr>
            <b/>
            <sz val="9"/>
            <color indexed="81"/>
            <rFont val="Tahoma"/>
            <family val="2"/>
          </rPr>
          <t>Brandon Noel:</t>
        </r>
        <r>
          <rPr>
            <sz val="9"/>
            <color indexed="81"/>
            <rFont val="Tahoma"/>
            <family val="2"/>
          </rPr>
          <t xml:space="preserve">
Assumption that electric tools last 2.5 years.</t>
        </r>
      </text>
    </comment>
    <comment ref="X64" authorId="0" shapeId="0">
      <text>
        <r>
          <rPr>
            <b/>
            <sz val="9"/>
            <color indexed="81"/>
            <rFont val="Tahoma"/>
            <family val="2"/>
          </rPr>
          <t>Brandon Noel:</t>
        </r>
        <r>
          <rPr>
            <sz val="9"/>
            <color indexed="81"/>
            <rFont val="Tahoma"/>
            <family val="2"/>
          </rPr>
          <t xml:space="preserve">
Assumption that cordless tools last 2.5 years.</t>
        </r>
      </text>
    </comment>
    <comment ref="A65" authorId="0" shapeId="0">
      <text>
        <r>
          <rPr>
            <b/>
            <sz val="9"/>
            <color indexed="81"/>
            <rFont val="Tahoma"/>
            <family val="2"/>
          </rPr>
          <t>Brandon Noel:</t>
        </r>
        <r>
          <rPr>
            <sz val="9"/>
            <color indexed="81"/>
            <rFont val="Tahoma"/>
            <family val="2"/>
          </rPr>
          <t xml:space="preserve"> 
We only want to account for the initial costs that are related to the pneumatic hand tools for one year. That is why this estimate multiplies the percent of CFM that is used for pneumatic hand tools by the total initial cost divided by the lifetime of the compressor system. This is simplistic in the sense that it assumes all the system components will have the same lifetime but it is good enough for this estimate.
The estimated cost is (pneumatic tool CFM/total CFM) / (lifetime of compressor system) * total initial cost</t>
        </r>
      </text>
    </comment>
    <comment ref="X65" authorId="0" shapeId="0">
      <text>
        <r>
          <rPr>
            <b/>
            <sz val="9"/>
            <color indexed="81"/>
            <rFont val="Tahoma"/>
            <family val="2"/>
          </rPr>
          <t>Brandon Noel:</t>
        </r>
        <r>
          <rPr>
            <sz val="9"/>
            <color indexed="81"/>
            <rFont val="Tahoma"/>
            <family val="2"/>
          </rPr>
          <t xml:space="preserve">
This is not really the right calculation as it uses the expected cost of electrical equivalent which may or may not be cordless.</t>
        </r>
      </text>
    </comment>
    <comment ref="A66" authorId="0" shapeId="0">
      <text>
        <r>
          <rPr>
            <b/>
            <sz val="9"/>
            <color indexed="81"/>
            <rFont val="Tahoma"/>
            <family val="2"/>
          </rPr>
          <t>Brandon Noel:</t>
        </r>
        <r>
          <rPr>
            <sz val="9"/>
            <color indexed="81"/>
            <rFont val="Tahoma"/>
            <family val="2"/>
          </rPr>
          <t xml:space="preserve">
We only want to account for the maintenance costs that are related to the pneumatic hand tools. That is why this estimate multiplies the percent of CFM that is used for pneumatic hand tools by the annual maintenance costs.
The estimated cost is (pneumatic tool CFM/total CFM) * total annual maintenance cost</t>
        </r>
      </text>
    </comment>
    <comment ref="X66" authorId="0" shapeId="0">
      <text>
        <r>
          <rPr>
            <b/>
            <sz val="9"/>
            <color indexed="81"/>
            <rFont val="Tahoma"/>
            <family val="2"/>
          </rPr>
          <t>Brandon Noel:</t>
        </r>
        <r>
          <rPr>
            <sz val="9"/>
            <color indexed="81"/>
            <rFont val="Tahoma"/>
            <family val="2"/>
          </rPr>
          <t xml:space="preserve">
The cost of the cordless kit times the number of tools replaced.</t>
        </r>
      </text>
    </comment>
    <comment ref="A69" authorId="0" shapeId="0">
      <text>
        <r>
          <rPr>
            <b/>
            <sz val="9"/>
            <color indexed="81"/>
            <rFont val="Tahoma"/>
            <family val="2"/>
          </rPr>
          <t>Brandon Noel:</t>
        </r>
        <r>
          <rPr>
            <sz val="9"/>
            <color indexed="81"/>
            <rFont val="Tahoma"/>
            <family val="2"/>
          </rPr>
          <t xml:space="preserve">
We have assumed there is $0 spent on maintaining the pneumatic tools or the corded electric while there are the battery costs for the cordless.</t>
        </r>
      </text>
    </comment>
    <comment ref="X69" authorId="0" shapeId="0">
      <text>
        <r>
          <rPr>
            <b/>
            <sz val="9"/>
            <color indexed="81"/>
            <rFont val="Tahoma"/>
            <family val="2"/>
          </rPr>
          <t>Brandon Noel:</t>
        </r>
        <r>
          <rPr>
            <sz val="9"/>
            <color indexed="81"/>
            <rFont val="Tahoma"/>
            <family val="2"/>
          </rPr>
          <t xml:space="preserve">
The initial cost of the replaced tools with the battery costs taken out of the cordless kits.</t>
        </r>
      </text>
    </comment>
    <comment ref="X72" authorId="0" shapeId="0">
      <text>
        <r>
          <rPr>
            <b/>
            <sz val="9"/>
            <color indexed="81"/>
            <rFont val="Tahoma"/>
            <family val="2"/>
          </rPr>
          <t>Brandon Noel:</t>
        </r>
        <r>
          <rPr>
            <sz val="9"/>
            <color indexed="81"/>
            <rFont val="Tahoma"/>
            <family val="2"/>
          </rPr>
          <t xml:space="preserve">
Sum of cordless kit costs with the grainger cost factor.</t>
        </r>
      </text>
    </comment>
    <comment ref="X79" authorId="0" shapeId="0">
      <text>
        <r>
          <rPr>
            <b/>
            <sz val="9"/>
            <color indexed="81"/>
            <rFont val="Tahoma"/>
            <family val="2"/>
          </rPr>
          <t>Brandon Noel:</t>
        </r>
        <r>
          <rPr>
            <sz val="9"/>
            <color indexed="81"/>
            <rFont val="Tahoma"/>
            <family val="2"/>
          </rPr>
          <t xml:space="preserve">
Blank -1
Unsure 0
Corded 1
Cordless 2</t>
        </r>
      </text>
    </comment>
    <comment ref="X80" authorId="0" shapeId="0">
      <text>
        <r>
          <rPr>
            <b/>
            <sz val="9"/>
            <color indexed="81"/>
            <rFont val="Tahoma"/>
            <family val="2"/>
          </rPr>
          <t>Brandon Noel:</t>
        </r>
        <r>
          <rPr>
            <sz val="9"/>
            <color indexed="81"/>
            <rFont val="Tahoma"/>
            <family val="2"/>
          </rPr>
          <t xml:space="preserve">
Cost of cordless kit - cost of cordless bare tool. Each of these is using the grainger cost factor.</t>
        </r>
      </text>
    </comment>
    <comment ref="X82" authorId="0" shapeId="0">
      <text>
        <r>
          <rPr>
            <b/>
            <sz val="9"/>
            <color indexed="81"/>
            <rFont val="Tahoma"/>
            <family val="2"/>
          </rPr>
          <t>Brandon Noel:</t>
        </r>
        <r>
          <rPr>
            <sz val="9"/>
            <color indexed="81"/>
            <rFont val="Tahoma"/>
            <family val="2"/>
          </rPr>
          <t xml:space="preserve">
Assuming cordless use same amount of watts as corded as well as a 3.75 amp hour battery (average of 2,4,5) as well as a 500 cycle lifetime.
Cost = ((rated amps*120*hours a year)/(3.75ah*18volts*500cycles))*cost per battery</t>
        </r>
      </text>
    </comment>
    <comment ref="X83" authorId="0" shapeId="0">
      <text>
        <r>
          <rPr>
            <b/>
            <sz val="9"/>
            <color indexed="81"/>
            <rFont val="Tahoma"/>
            <family val="2"/>
          </rPr>
          <t>Brandon Noel:</t>
        </r>
        <r>
          <rPr>
            <sz val="9"/>
            <color indexed="81"/>
            <rFont val="Tahoma"/>
            <family val="2"/>
          </rPr>
          <t xml:space="preserve">
If corded, =cost of corded tool
If cordless = cost of cordless kit - ((cost of cordless kit - cost of cordless bare tool)*0.66)
If preference then either it is the corded cost or the cordless cost depending on which is chosen. If unsure it is the cost of the cordless.</t>
        </r>
      </text>
    </comment>
    <comment ref="X122" authorId="0" shapeId="0">
      <text>
        <r>
          <rPr>
            <b/>
            <sz val="9"/>
            <color indexed="81"/>
            <rFont val="Tahoma"/>
            <family val="2"/>
          </rPr>
          <t>Brandon Noel:</t>
        </r>
        <r>
          <rPr>
            <sz val="9"/>
            <color indexed="81"/>
            <rFont val="Tahoma"/>
            <family val="2"/>
          </rPr>
          <t xml:space="preserve">
Only enter in pneumatic tools. If you use a pneumatic tool that isn't listed please choose the "Custom" option. This requires you to enter in all the information in the redish and blue fields for that tool. If you use a tool from the drop down menu then there will be default values for everything. If you want to use the default values except for example the cost of the pneumatic tool you would simply enter in the cost you want to use in the "Custom cost of pneumatic tool" field.</t>
        </r>
      </text>
    </comment>
    <comment ref="AA122" authorId="0" shapeId="0">
      <text>
        <r>
          <rPr>
            <b/>
            <sz val="9"/>
            <color indexed="81"/>
            <rFont val="Tahoma"/>
            <family val="2"/>
          </rPr>
          <t>Brandon Noel:</t>
        </r>
        <r>
          <rPr>
            <sz val="9"/>
            <color indexed="81"/>
            <rFont val="Tahoma"/>
            <family val="2"/>
          </rPr>
          <t xml:space="preserve">
If unsure is chosen, we will assume cordless tools since those are becoming ever increasingly popular.</t>
        </r>
      </text>
    </comment>
    <comment ref="AB122" authorId="0" shapeId="0">
      <text>
        <r>
          <rPr>
            <b/>
            <sz val="9"/>
            <color indexed="81"/>
            <rFont val="Tahoma"/>
            <family val="2"/>
          </rPr>
          <t>Brandon Noel:</t>
        </r>
        <r>
          <rPr>
            <sz val="9"/>
            <color indexed="81"/>
            <rFont val="Tahoma"/>
            <family val="2"/>
          </rPr>
          <t xml:space="preserve">
This is an average of hours used per day for the tools that are going to be replaced. This is how long the tool is actually using power or in other words how long the trigger is being pulled. These are important numbers to get somewhat accurate. This estimate is going to take this number and use it for the entire year. It may be worth it to spend a little time actively trying to see how much usage is being done. This number will also help you more accurately estimate the useful lifetime of the tools you use. Remember this calculator is only as good as the data you put into it.</t>
        </r>
      </text>
    </comment>
    <comment ref="AD122" authorId="0" shapeId="0">
      <text>
        <r>
          <rPr>
            <b/>
            <sz val="9"/>
            <color indexed="10"/>
            <rFont val="Tahoma"/>
            <family val="2"/>
          </rPr>
          <t>Brandon Noel:</t>
        </r>
        <r>
          <rPr>
            <sz val="9"/>
            <color indexed="10"/>
            <rFont val="Tahoma"/>
            <family val="2"/>
          </rPr>
          <t xml:space="preserve">
In our experience, electric tools last about 2-3 years while pneumatic tools last about 5-6. This needs to be checked out by us before sending this out. Do not put a default value for this.</t>
        </r>
      </text>
    </comment>
    <comment ref="AE122" authorId="0" shapeId="0">
      <text>
        <r>
          <rPr>
            <b/>
            <sz val="9"/>
            <color indexed="81"/>
            <rFont val="Tahoma"/>
            <family val="2"/>
          </rPr>
          <t>Brandon Noel:</t>
        </r>
        <r>
          <rPr>
            <sz val="9"/>
            <color indexed="81"/>
            <rFont val="Tahoma"/>
            <family val="2"/>
          </rPr>
          <t xml:space="preserve">
The value to be entered here is the CFM at full load. Many websites give the average CFM which is simply the CFM at full load/4. Be careful, different vendors may give the CFM rating in different units. Some websites may not give the CFM at full load. If this is the case, you can call the manufacturer or use the default estimate.</t>
        </r>
      </text>
    </comment>
    <comment ref="AG122" authorId="0" shapeId="0">
      <text>
        <r>
          <rPr>
            <b/>
            <sz val="9"/>
            <color indexed="81"/>
            <rFont val="Tahoma"/>
            <family val="2"/>
          </rPr>
          <t>Brandon Noel:</t>
        </r>
        <r>
          <rPr>
            <sz val="9"/>
            <color indexed="81"/>
            <rFont val="Tahoma"/>
            <family val="2"/>
          </rPr>
          <t xml:space="preserve">
From the companies we have talked to, typical lifetimes for electric tools are about 2-3 years. Typical lifetimes for pneumatic tools are generally about double the lifetime of electric tools. Of course the lifetimes of any tools are going to vary greatly depending on how they are being used. If you don't put anything in this field, we will estimate it to be half the lifetime of your pnuematic tool.</t>
        </r>
      </text>
    </comment>
    <comment ref="AH122" authorId="0" shapeId="0">
      <text>
        <r>
          <rPr>
            <b/>
            <sz val="9"/>
            <color indexed="81"/>
            <rFont val="Tahoma"/>
            <family val="2"/>
          </rPr>
          <t>Brandon Noel:</t>
        </r>
        <r>
          <rPr>
            <sz val="9"/>
            <color indexed="81"/>
            <rFont val="Tahoma"/>
            <family val="2"/>
          </rPr>
          <t xml:space="preserve">
If you are entering your own custom tool please enter in the required amps for an equivalent electric tool at 120 volts. If you know the input watts please divide by 120 volts. If you don't know you can use the average we have found of Custom CFM / 3.73. Be warned that this ratio of CFM to amps varies by tool and can be anywhere from 2.5 to 5</t>
        </r>
      </text>
    </comment>
    <comment ref="AJ122" authorId="0" shapeId="0">
      <text>
        <r>
          <rPr>
            <b/>
            <sz val="9"/>
            <color indexed="81"/>
            <rFont val="Tahoma"/>
            <family val="2"/>
          </rPr>
          <t>Brandon Noel:</t>
        </r>
        <r>
          <rPr>
            <sz val="9"/>
            <color indexed="81"/>
            <rFont val="Tahoma"/>
            <family val="2"/>
          </rPr>
          <t xml:space="preserve">
This allows flexibility for your situation in case you have different life times for cordless electric tools compared to corded electric tools.</t>
        </r>
      </text>
    </comment>
    <comment ref="AK122" authorId="0" shapeId="0">
      <text>
        <r>
          <rPr>
            <b/>
            <sz val="9"/>
            <color indexed="81"/>
            <rFont val="Tahoma"/>
            <family val="2"/>
          </rPr>
          <t>Brandon Noel:</t>
        </r>
        <r>
          <rPr>
            <sz val="9"/>
            <color indexed="81"/>
            <rFont val="Tahoma"/>
            <family val="2"/>
          </rPr>
          <t xml:space="preserve">
The kit should include 2 batteries and a charger.</t>
        </r>
      </text>
    </comment>
    <comment ref="AL122" authorId="0" shapeId="0">
      <text>
        <r>
          <rPr>
            <b/>
            <sz val="9"/>
            <color indexed="81"/>
            <rFont val="Tahoma"/>
            <family val="2"/>
          </rPr>
          <t>Brandon Noel:</t>
        </r>
        <r>
          <rPr>
            <sz val="9"/>
            <color indexed="81"/>
            <rFont val="Tahoma"/>
            <family val="2"/>
          </rPr>
          <t xml:space="preserve">
The CFM for the tools listed are obtained through Grainger's catalog which contains many different suppliers. Additional CFM information was obtained directly from suppliers websites. The estimated CFM for each tool is an average of all the CFMs of that type of tool that was found.  If you would like to see how this calculation was done please go to the Sample Calculation sheet for more information.
This is calculated for the total quantity of tools used not tools replaced.</t>
        </r>
      </text>
    </comment>
    <comment ref="AM122" authorId="0" shapeId="0">
      <text>
        <r>
          <rPr>
            <b/>
            <sz val="9"/>
            <color indexed="81"/>
            <rFont val="Tahoma"/>
            <family val="2"/>
          </rPr>
          <t>Brandon Noel:</t>
        </r>
        <r>
          <rPr>
            <sz val="9"/>
            <color indexed="81"/>
            <rFont val="Tahoma"/>
            <family val="2"/>
          </rPr>
          <t xml:space="preserve">
This is calculated for the total tools used not tools to be replaced.</t>
        </r>
      </text>
    </comment>
    <comment ref="AP122" authorId="0" shapeId="0">
      <text>
        <r>
          <rPr>
            <b/>
            <sz val="9"/>
            <color indexed="81"/>
            <rFont val="Tahoma"/>
            <family val="2"/>
          </rPr>
          <t>Brandon Noel:</t>
        </r>
        <r>
          <rPr>
            <sz val="9"/>
            <color indexed="81"/>
            <rFont val="Tahoma"/>
            <family val="2"/>
          </rPr>
          <t xml:space="preserve">
The cost for the tools listed are obtained through Grainger's catalog which contains many different suppliers. Additional cost information was obtained directly from suppliers websites. The estimated cost for each tool is an average of all the costs of that type of tool that was found. </t>
        </r>
      </text>
    </comment>
    <comment ref="AR122" authorId="0" shapeId="0">
      <text>
        <r>
          <rPr>
            <b/>
            <sz val="9"/>
            <color indexed="81"/>
            <rFont val="Tahoma"/>
            <family val="2"/>
          </rPr>
          <t>Brandon Noel:</t>
        </r>
        <r>
          <rPr>
            <sz val="9"/>
            <color indexed="81"/>
            <rFont val="Tahoma"/>
            <family val="2"/>
          </rPr>
          <t xml:space="preserve">
Just the cost of the bare tool.</t>
        </r>
      </text>
    </comment>
    <comment ref="AS122" authorId="0" shapeId="0">
      <text>
        <r>
          <rPr>
            <b/>
            <sz val="9"/>
            <color indexed="81"/>
            <rFont val="Tahoma"/>
            <family val="2"/>
          </rPr>
          <t>Brandon Noel:</t>
        </r>
        <r>
          <rPr>
            <sz val="9"/>
            <color indexed="81"/>
            <rFont val="Tahoma"/>
            <family val="2"/>
          </rPr>
          <t xml:space="preserve">
Uses the default value if no lifetime is entered for the specific tool. If a lifetime is entered then that lifetime is used over the default. </t>
        </r>
      </text>
    </comment>
    <comment ref="AT122" authorId="0" shapeId="0">
      <text>
        <r>
          <rPr>
            <b/>
            <sz val="9"/>
            <color indexed="81"/>
            <rFont val="Tahoma"/>
            <family val="2"/>
          </rPr>
          <t>Brandon Noel:</t>
        </r>
        <r>
          <rPr>
            <sz val="9"/>
            <color indexed="81"/>
            <rFont val="Tahoma"/>
            <family val="2"/>
          </rPr>
          <t xml:space="preserve">
Assumption that electric tools last 2.5 years.</t>
        </r>
      </text>
    </comment>
    <comment ref="AU122" authorId="0" shapeId="0">
      <text>
        <r>
          <rPr>
            <b/>
            <sz val="9"/>
            <color indexed="81"/>
            <rFont val="Tahoma"/>
            <family val="2"/>
          </rPr>
          <t>Brandon Noel:</t>
        </r>
        <r>
          <rPr>
            <sz val="9"/>
            <color indexed="81"/>
            <rFont val="Tahoma"/>
            <family val="2"/>
          </rPr>
          <t xml:space="preserve">
Assumption that cordless tools last 2.5 years.</t>
        </r>
      </text>
    </comment>
    <comment ref="AV122" authorId="0" shapeId="0">
      <text>
        <r>
          <rPr>
            <b/>
            <sz val="9"/>
            <color indexed="81"/>
            <rFont val="Tahoma"/>
            <family val="2"/>
          </rPr>
          <t>Brandon Noel:</t>
        </r>
        <r>
          <rPr>
            <sz val="9"/>
            <color indexed="81"/>
            <rFont val="Tahoma"/>
            <family val="2"/>
          </rPr>
          <t xml:space="preserve">
This is not really the right calculation as it uses the expected cost of electrical equivalent which may or may not be cordless.</t>
        </r>
      </text>
    </comment>
    <comment ref="AW122" authorId="0" shapeId="0">
      <text>
        <r>
          <rPr>
            <b/>
            <sz val="9"/>
            <color indexed="81"/>
            <rFont val="Tahoma"/>
            <family val="2"/>
          </rPr>
          <t>Brandon Noel:</t>
        </r>
        <r>
          <rPr>
            <sz val="9"/>
            <color indexed="81"/>
            <rFont val="Tahoma"/>
            <family val="2"/>
          </rPr>
          <t xml:space="preserve">
The cost of the cordless kit times the number of tools replaced.</t>
        </r>
      </text>
    </comment>
    <comment ref="AZ122" authorId="0" shapeId="0">
      <text>
        <r>
          <rPr>
            <b/>
            <sz val="9"/>
            <color indexed="81"/>
            <rFont val="Tahoma"/>
            <family val="2"/>
          </rPr>
          <t>Brandon Noel:</t>
        </r>
        <r>
          <rPr>
            <sz val="9"/>
            <color indexed="81"/>
            <rFont val="Tahoma"/>
            <family val="2"/>
          </rPr>
          <t xml:space="preserve">
The initial cost of the replaced tools with the battery costs taken out of the cordless kits.</t>
        </r>
      </text>
    </comment>
    <comment ref="BC122" authorId="0" shapeId="0">
      <text>
        <r>
          <rPr>
            <b/>
            <sz val="9"/>
            <color indexed="81"/>
            <rFont val="Tahoma"/>
            <family val="2"/>
          </rPr>
          <t>Brandon Noel:</t>
        </r>
        <r>
          <rPr>
            <sz val="9"/>
            <color indexed="81"/>
            <rFont val="Tahoma"/>
            <family val="2"/>
          </rPr>
          <t xml:space="preserve">
Sum of cordless kit costs with the grainger cost factor.</t>
        </r>
      </text>
    </comment>
    <comment ref="BJ122" authorId="0" shapeId="0">
      <text>
        <r>
          <rPr>
            <b/>
            <sz val="9"/>
            <color indexed="81"/>
            <rFont val="Tahoma"/>
            <family val="2"/>
          </rPr>
          <t>Brandon Noel:</t>
        </r>
        <r>
          <rPr>
            <sz val="9"/>
            <color indexed="81"/>
            <rFont val="Tahoma"/>
            <family val="2"/>
          </rPr>
          <t xml:space="preserve">
Blank -1
Unsure 0
Corded 1
Cordless 2</t>
        </r>
      </text>
    </comment>
    <comment ref="BK122" authorId="0" shapeId="0">
      <text>
        <r>
          <rPr>
            <b/>
            <sz val="9"/>
            <color indexed="81"/>
            <rFont val="Tahoma"/>
            <family val="2"/>
          </rPr>
          <t>Brandon Noel:</t>
        </r>
        <r>
          <rPr>
            <sz val="9"/>
            <color indexed="81"/>
            <rFont val="Tahoma"/>
            <family val="2"/>
          </rPr>
          <t xml:space="preserve">
Cost of cordless kit - cost of cordless bare tool. Each of these is using the grainger cost factor.</t>
        </r>
      </text>
    </comment>
    <comment ref="BM122" authorId="0" shapeId="0">
      <text>
        <r>
          <rPr>
            <b/>
            <sz val="9"/>
            <color indexed="81"/>
            <rFont val="Tahoma"/>
            <family val="2"/>
          </rPr>
          <t>Brandon Noel:</t>
        </r>
        <r>
          <rPr>
            <sz val="9"/>
            <color indexed="81"/>
            <rFont val="Tahoma"/>
            <family val="2"/>
          </rPr>
          <t xml:space="preserve">
Assuming cordless use same amount of watts as corded as well as a 3.75 amp hour battery (average of 2,4,5) as well as a 500 cycle lifetime.
Cost = ((rated amps*120*hours a year)/(3.75ah*18volts*500cycles))*cost per battery</t>
        </r>
      </text>
    </comment>
    <comment ref="BN122" authorId="0" shapeId="0">
      <text>
        <r>
          <rPr>
            <b/>
            <sz val="9"/>
            <color indexed="81"/>
            <rFont val="Tahoma"/>
            <family val="2"/>
          </rPr>
          <t>Brandon Noel:</t>
        </r>
        <r>
          <rPr>
            <sz val="9"/>
            <color indexed="81"/>
            <rFont val="Tahoma"/>
            <family val="2"/>
          </rPr>
          <t xml:space="preserve">
If corded, =cost of corded tool
If cordless = cost of cordless kit - ((cost of cordless kit - cost of cordless bare tool)*0.66)
If preference then either it is the corded cost or the cordless cost depending on which is chosen. If unsure it is the cost of the cordless.</t>
        </r>
      </text>
    </comment>
  </commentList>
</comments>
</file>

<file path=xl/comments2.xml><?xml version="1.0" encoding="utf-8"?>
<comments xmlns="http://schemas.openxmlformats.org/spreadsheetml/2006/main">
  <authors>
    <author>Brandon Noel</author>
    <author>Jon C Vanyo</author>
  </authors>
  <commentList>
    <comment ref="A13" authorId="0" shapeId="0">
      <text>
        <r>
          <rPr>
            <b/>
            <sz val="9"/>
            <color indexed="81"/>
            <rFont val="Tahoma"/>
            <family val="2"/>
          </rPr>
          <t>Brandon Noel:</t>
        </r>
        <r>
          <rPr>
            <sz val="9"/>
            <color indexed="81"/>
            <rFont val="Tahoma"/>
            <family val="2"/>
          </rPr>
          <t xml:space="preserve">
Leak Rate Directions:
In a perfect compressed air system, all of the air that leaves the compressor will reach the end use (power tools, presses, actuators, etc). In real systems, some of that air is leaked out through valves, holes in the hoses, or other places. A well maintained system will have a leak rate &lt;10% but it is common for many systems to be around the 20% default rate or worse.
</t>
        </r>
      </text>
    </comment>
    <comment ref="A14" authorId="0" shapeId="0">
      <text>
        <r>
          <rPr>
            <b/>
            <sz val="9"/>
            <color indexed="81"/>
            <rFont val="Tahoma"/>
            <family val="2"/>
          </rPr>
          <t>Brandon Noel:</t>
        </r>
        <r>
          <rPr>
            <sz val="9"/>
            <color indexed="81"/>
            <rFont val="Tahoma"/>
            <family val="2"/>
          </rPr>
          <t xml:space="preserve">
Cost of Electricity Description:
The blended electricity rate which includes demand cost, usage cost, and extra fees/costs. In Minnesota, the average industrial electricity price in 2015, according to the Energy Information Administration, is $0.0702 per kilowatt-hour. </t>
        </r>
      </text>
    </comment>
    <comment ref="A15" authorId="0" shapeId="0">
      <text>
        <r>
          <rPr>
            <b/>
            <sz val="9"/>
            <color indexed="81"/>
            <rFont val="Tahoma"/>
            <family val="2"/>
          </rPr>
          <t>Brandon Noel:</t>
        </r>
        <r>
          <rPr>
            <sz val="9"/>
            <color indexed="81"/>
            <rFont val="Tahoma"/>
            <family val="2"/>
          </rPr>
          <t xml:space="preserve">
Pneumatic Maintenance Cost Directions:
The total of all costs related to maintaining one pneumatic tool for one year. Include things like the cost of oil, replacement parts, and the cost of labor.</t>
        </r>
      </text>
    </comment>
    <comment ref="A16" authorId="0" shapeId="0">
      <text>
        <r>
          <rPr>
            <b/>
            <sz val="9"/>
            <color indexed="81"/>
            <rFont val="Tahoma"/>
            <family val="2"/>
          </rPr>
          <t xml:space="preserve">Brandon Noel:
</t>
        </r>
        <r>
          <rPr>
            <sz val="9"/>
            <color indexed="81"/>
            <rFont val="Tahoma"/>
            <family val="2"/>
          </rPr>
          <t>Corded Electric Maintenance Cost Directions:
The total of all costs related to maintaining one corded electric tool for one year. Include things like the cost of rewinding motors, replacement parts, and any labor costs.</t>
        </r>
      </text>
    </comment>
    <comment ref="A17" authorId="0" shapeId="0">
      <text>
        <r>
          <rPr>
            <b/>
            <sz val="9"/>
            <color indexed="81"/>
            <rFont val="Tahoma"/>
            <family val="2"/>
          </rPr>
          <t>Brandon Noel:</t>
        </r>
        <r>
          <rPr>
            <sz val="9"/>
            <color indexed="81"/>
            <rFont val="Tahoma"/>
            <family val="2"/>
          </rPr>
          <t xml:space="preserve">
Cordless Electric Maintenance Cost Directions:
The total of all costs related to maintaining one cordless electric tool for one year. Include things like the cost of replacing any parts. </t>
        </r>
        <r>
          <rPr>
            <b/>
            <sz val="9"/>
            <color indexed="81"/>
            <rFont val="Tahoma"/>
            <family val="2"/>
          </rPr>
          <t>DO NOT INCLUDE THE COST OF BATTERIES!</t>
        </r>
        <r>
          <rPr>
            <sz val="9"/>
            <color indexed="81"/>
            <rFont val="Tahoma"/>
            <family val="2"/>
          </rPr>
          <t xml:space="preserve"> Batteries are already calculated into the cost of the tools themselves.</t>
        </r>
      </text>
    </comment>
    <comment ref="A18" authorId="0" shapeId="0">
      <text>
        <r>
          <rPr>
            <b/>
            <sz val="9"/>
            <color indexed="81"/>
            <rFont val="Tahoma"/>
            <family val="2"/>
          </rPr>
          <t>Brandon Noel:</t>
        </r>
        <r>
          <rPr>
            <sz val="9"/>
            <color indexed="81"/>
            <rFont val="Tahoma"/>
            <family val="2"/>
          </rPr>
          <t xml:space="preserve">
Pneumatic Tool Lifetime Description:
The average amount of time pneumatic tools in general last before they have to get replaced. The option to use different lifetimes for different tools is available in the power tool information section.</t>
        </r>
      </text>
    </comment>
    <comment ref="A19" authorId="0" shapeId="0">
      <text>
        <r>
          <rPr>
            <b/>
            <sz val="9"/>
            <color indexed="81"/>
            <rFont val="Tahoma"/>
            <family val="2"/>
          </rPr>
          <t>Brandon Noel:</t>
        </r>
        <r>
          <rPr>
            <sz val="9"/>
            <color indexed="81"/>
            <rFont val="Tahoma"/>
            <family val="2"/>
          </rPr>
          <t xml:space="preserve">
Corded Tool Lifetime Description:
The average amount of time corded tools in general last before they have to get replaced. The option to use different lifetimes for different tools is available in the power tool information section.</t>
        </r>
      </text>
    </comment>
    <comment ref="A20" authorId="0" shapeId="0">
      <text>
        <r>
          <rPr>
            <b/>
            <sz val="9"/>
            <color indexed="81"/>
            <rFont val="Tahoma"/>
            <family val="2"/>
          </rPr>
          <t>Brandon Noel:</t>
        </r>
        <r>
          <rPr>
            <sz val="9"/>
            <color indexed="81"/>
            <rFont val="Tahoma"/>
            <family val="2"/>
          </rPr>
          <t xml:space="preserve">
Cordless Tool Lifetime Description:
The average amount of time cordless tools in general last before they have to get replaced. The option to use different lifetimes for different tools is available in the power tool information section.</t>
        </r>
      </text>
    </comment>
    <comment ref="A30" authorId="0" shapeId="0">
      <text>
        <r>
          <rPr>
            <b/>
            <sz val="9"/>
            <color indexed="81"/>
            <rFont val="Tahoma"/>
            <family val="2"/>
          </rPr>
          <t>Brandon Noel:</t>
        </r>
        <r>
          <rPr>
            <sz val="9"/>
            <color indexed="81"/>
            <rFont val="Tahoma"/>
            <family val="2"/>
          </rPr>
          <t xml:space="preserve">
Motor Size (HP) Description:
Select one of the horsepower (HP) sizes from the drop down list. The number should be what you read from the nameplate of the compressor.
</t>
        </r>
      </text>
    </comment>
    <comment ref="A31" authorId="0" shapeId="0">
      <text>
        <r>
          <rPr>
            <b/>
            <sz val="9"/>
            <color indexed="81"/>
            <rFont val="Tahoma"/>
            <family val="2"/>
          </rPr>
          <t>Brandon Noel:</t>
        </r>
        <r>
          <rPr>
            <sz val="9"/>
            <color indexed="81"/>
            <rFont val="Tahoma"/>
            <family val="2"/>
          </rPr>
          <t xml:space="preserve">
Pressure (PSI) Description:
The operating pressure measured at the discharge of the air compressor.</t>
        </r>
      </text>
    </comment>
    <comment ref="A32" authorId="0" shapeId="0">
      <text>
        <r>
          <rPr>
            <b/>
            <sz val="9"/>
            <color indexed="81"/>
            <rFont val="Tahoma"/>
            <family val="2"/>
          </rPr>
          <t>Brandon Noel:</t>
        </r>
        <r>
          <rPr>
            <sz val="9"/>
            <color indexed="81"/>
            <rFont val="Tahoma"/>
            <family val="2"/>
          </rPr>
          <t xml:space="preserve">
Compressor Type Directions:
The physical mechanism that this compressor uses to compress air. The most commonly used type is a single stage rotary screw. 
Default: Usually single stage rotary screw, but sometimes single stage piston.</t>
        </r>
      </text>
    </comment>
    <comment ref="A33" authorId="0" shapeId="0">
      <text>
        <r>
          <rPr>
            <b/>
            <sz val="9"/>
            <color indexed="81"/>
            <rFont val="Tahoma"/>
            <family val="2"/>
          </rPr>
          <t>Brandon Noel:</t>
        </r>
        <r>
          <rPr>
            <sz val="9"/>
            <color indexed="81"/>
            <rFont val="Tahoma"/>
            <family val="2"/>
          </rPr>
          <t xml:space="preserve">
Control Method Directions:
The method that the compressor uses to regulate the amount of air flow based on the demand. The most commonly used control methods are load/unload and variable speed drive.  Refer back to the MnTAP Pneumatic Tool Guide for more information.
Default: load/unload</t>
        </r>
      </text>
    </comment>
    <comment ref="A34" authorId="0" shapeId="0">
      <text>
        <r>
          <rPr>
            <b/>
            <sz val="9"/>
            <color indexed="81"/>
            <rFont val="Tahoma"/>
            <family val="2"/>
          </rPr>
          <t>Brandon Noel:</t>
        </r>
        <r>
          <rPr>
            <sz val="9"/>
            <color indexed="81"/>
            <rFont val="Tahoma"/>
            <family val="2"/>
          </rPr>
          <t xml:space="preserve">
Average Load% Directions:
The percent of time, during normal operating hours, that this compressor is actively compressing air. 
Default:  50% based on a study of 12 manufacturers.</t>
        </r>
      </text>
    </comment>
    <comment ref="E36" authorId="0" shapeId="0">
      <text>
        <r>
          <rPr>
            <b/>
            <sz val="9"/>
            <color indexed="81"/>
            <rFont val="Tahoma"/>
            <family val="2"/>
          </rPr>
          <t>Brandon Noel:</t>
        </r>
        <r>
          <rPr>
            <sz val="9"/>
            <color indexed="81"/>
            <rFont val="Tahoma"/>
            <family val="2"/>
          </rPr>
          <t xml:space="preserve">
Compressor System Specific Power Explanation:
Specific power is a measure of how much electricity (kilowatt-hours or kWh) is used to generate a fixed amount of air (cubic feet per minute or CFM).
Compressor datasheets were collected from the Department of Energy's AirMaster+ software. These datasheets were combined with data about the partial loading efficiencies of different control methods in order to estimate the specific power for each compressor inputted. The compressor system specific power is a weighted average of these weighted by the horsepower and their average load %. If the average load% isn't inputted it is defaulted to 50%. If the control method isn't inputted it is defaulted to Load/Unload. If the compressor type isn't inputted it is defaulted to either Single Stage Rotary Screw or Single Stage Piston depending on the choice of HP and PSI.
This also takes into account the specified Compressed Air leak percentage, or else uses the default leak rate of 20%.</t>
        </r>
      </text>
    </comment>
    <comment ref="A46" authorId="0" shapeId="0">
      <text>
        <r>
          <rPr>
            <b/>
            <sz val="9"/>
            <color indexed="81"/>
            <rFont val="Tahoma"/>
            <family val="2"/>
          </rPr>
          <t>Brandon Noel:</t>
        </r>
        <r>
          <rPr>
            <sz val="9"/>
            <color indexed="81"/>
            <rFont val="Tahoma"/>
            <family val="2"/>
          </rPr>
          <t xml:space="preserve">
Tool Type Directions:
Select one of the commonly used power tools with the drop-down. If you can't find a tool you would like to replace, pick any tool and then input custom values below.
</t>
        </r>
      </text>
    </comment>
    <comment ref="A47" authorId="0" shapeId="0">
      <text>
        <r>
          <rPr>
            <b/>
            <sz val="9"/>
            <color indexed="81"/>
            <rFont val="Tahoma"/>
            <family val="2"/>
          </rPr>
          <t>Brandon Noel:</t>
        </r>
        <r>
          <rPr>
            <sz val="9"/>
            <color indexed="81"/>
            <rFont val="Tahoma"/>
            <family val="2"/>
          </rPr>
          <t xml:space="preserve">
Directions for Quantity:
Type in the number of pneumatic power tools of this particular type that you are considering replacing with electric.</t>
        </r>
      </text>
    </comment>
    <comment ref="A48" authorId="0" shapeId="0">
      <text>
        <r>
          <rPr>
            <b/>
            <sz val="9"/>
            <color indexed="81"/>
            <rFont val="Tahoma"/>
            <family val="2"/>
          </rPr>
          <t>Brandon Noel:</t>
        </r>
        <r>
          <rPr>
            <sz val="9"/>
            <color indexed="81"/>
            <rFont val="Tahoma"/>
            <family val="2"/>
          </rPr>
          <t xml:space="preserve">
Directions for Hours Used Per Day:
Considering all of the power tools of this particular type, averaged over one business year, how many hours per day will one of these power tools be operating. In other words, how many hours per day will air be flowing through one tool of this type in order to run it. Answering this question is difficult, spend a moment considering all of the use cases of this tool type. After your consideration, type in your best estimate.</t>
        </r>
      </text>
    </comment>
    <comment ref="A49" authorId="0" shapeId="0">
      <text>
        <r>
          <rPr>
            <b/>
            <sz val="9"/>
            <color indexed="81"/>
            <rFont val="Tahoma"/>
            <family val="2"/>
          </rPr>
          <t>Brandon Noel:</t>
        </r>
        <r>
          <rPr>
            <sz val="9"/>
            <color indexed="81"/>
            <rFont val="Tahoma"/>
            <family val="2"/>
          </rPr>
          <t xml:space="preserve">
Directions for Days Used Per Year:
The number of operating days per year.</t>
        </r>
      </text>
    </comment>
    <comment ref="A50" authorId="0" shapeId="0">
      <text>
        <r>
          <rPr>
            <b/>
            <sz val="9"/>
            <color indexed="81"/>
            <rFont val="Tahoma"/>
            <family val="2"/>
          </rPr>
          <t>Brandon Noel:</t>
        </r>
        <r>
          <rPr>
            <sz val="9"/>
            <color indexed="81"/>
            <rFont val="Tahoma"/>
            <family val="2"/>
          </rPr>
          <t xml:space="preserve">
Directions for Replacement Type:
This calculator can take into account replacing some tool types with cordless and others with corded. Click the cell you would like to fill in and then use the drop-down to select either replacing that tool type with cordless (battery powered) electric tools or corded electric tools. If you are unsure about what you would like to replace your pneumatic tools with, the default is to replace them with corded electric tools.</t>
        </r>
      </text>
    </comment>
    <comment ref="A51" authorId="0" shapeId="0">
      <text>
        <r>
          <rPr>
            <b/>
            <sz val="9"/>
            <color indexed="81"/>
            <rFont val="Tahoma"/>
            <family val="2"/>
          </rPr>
          <t>Brandon Noel:</t>
        </r>
        <r>
          <rPr>
            <sz val="9"/>
            <color indexed="81"/>
            <rFont val="Tahoma"/>
            <family val="2"/>
          </rPr>
          <t xml:space="preserve">
Pneumatic Lifetime Directions:
If you would like to enter a lifetime for a particular tool that is different than the answer you provided in the General Information section then enter your custom lifetime value into this question.</t>
        </r>
      </text>
    </comment>
    <comment ref="A52" authorId="0" shapeId="0">
      <text>
        <r>
          <rPr>
            <b/>
            <sz val="9"/>
            <color indexed="81"/>
            <rFont val="Tahoma"/>
            <family val="2"/>
          </rPr>
          <t>Brandon Noel:</t>
        </r>
        <r>
          <rPr>
            <sz val="9"/>
            <color indexed="81"/>
            <rFont val="Tahoma"/>
            <family val="2"/>
          </rPr>
          <t xml:space="preserve">
Replacement Lifetime Directions:
If you would like to enter a lifetime for a particular tool that is replacing a pneumatic tool that is different than the answer you provided in the General Information section then enter your custom lifetime value into this question.</t>
        </r>
      </text>
    </comment>
    <comment ref="A53" authorId="0" shapeId="0">
      <text>
        <r>
          <rPr>
            <b/>
            <sz val="9"/>
            <color indexed="81"/>
            <rFont val="Tahoma"/>
            <family val="2"/>
          </rPr>
          <t>Brandon Noel:</t>
        </r>
        <r>
          <rPr>
            <sz val="9"/>
            <color indexed="81"/>
            <rFont val="Tahoma"/>
            <family val="2"/>
          </rPr>
          <t xml:space="preserve">
Pneumatic Initial Cost Directions:
Values entered for this question will be used instead of the default costs MnTAP has collected. Simply enter the cost to buy one of the pneumatic tools.</t>
        </r>
      </text>
    </comment>
    <comment ref="A54" authorId="0" shapeId="0">
      <text>
        <r>
          <rPr>
            <b/>
            <sz val="9"/>
            <color indexed="81"/>
            <rFont val="Tahoma"/>
            <family val="2"/>
          </rPr>
          <t>Brandon Noel:</t>
        </r>
        <r>
          <rPr>
            <sz val="9"/>
            <color indexed="81"/>
            <rFont val="Tahoma"/>
            <family val="2"/>
          </rPr>
          <t xml:space="preserve">
Replacement Initial Cost Directions:
If you are considering replacing your pneumatic tool with a corded electric tool and would like to use a value different than the default simply enter in the cost of one of the cordless tools.
If you are considering replacing your pneumatic tool with a cordless electric tool and would like to use a vlaue different than the default then enter in the cost of one cordless tool kits. A cordless tool kit should include the cordless tool and 2 batteries without too many other frills. The calculator is setup in such a way as to not include any additional battery costs besides in this initial cost which is expected to be paid every [average lifetime of a cordless electric tool] years. If you use more or less than 2 batteries in the lifetime of this cordless tool then enter in the initial cost for that. It should be noted that in the defaults all of the cordless tool prices are kits that include 2 batteries. The cost of batteries is included in this initial cost to keep comparisons fair between pneumatic, corded, and cordless.</t>
        </r>
      </text>
    </comment>
    <comment ref="A55" authorId="0" shapeId="0">
      <text>
        <r>
          <rPr>
            <b/>
            <sz val="9"/>
            <color indexed="81"/>
            <rFont val="Tahoma"/>
            <family val="2"/>
          </rPr>
          <t>Brandon Noel:</t>
        </r>
        <r>
          <rPr>
            <sz val="9"/>
            <color indexed="81"/>
            <rFont val="Tahoma"/>
            <family val="2"/>
          </rPr>
          <t xml:space="preserve">
Pneumatic CFM Directions:
If you would like to enter a value different than the default enter it in here. The pneumatic CFM is the CFM used by the tool for 15 seconds which is typically called the "average CFM". Be careful as different manufacturers market their specifications in different ways and it is not always clear what units they are using.</t>
        </r>
      </text>
    </comment>
    <comment ref="A56" authorId="0" shapeId="0">
      <text>
        <r>
          <rPr>
            <b/>
            <sz val="9"/>
            <color indexed="81"/>
            <rFont val="Tahoma"/>
            <family val="2"/>
          </rPr>
          <t>Brandon Noel:</t>
        </r>
        <r>
          <rPr>
            <sz val="9"/>
            <color indexed="81"/>
            <rFont val="Tahoma"/>
            <family val="2"/>
          </rPr>
          <t xml:space="preserve">
Replacement Amps Directions:
This question is for inputting an electric replacement tool with a different power usage than the default usage. Simply enter in the amps that is in the specifications of the corded electric tool. If you are replacing with a cordless tool, most cordless tools don't have any power rating in their specifications. A conservative estimate would be to put in the amps for an equivalent corded tool. Since it is likely that the cordless version of some tool will use less power than the corded version.</t>
        </r>
      </text>
    </comment>
    <comment ref="A57" authorId="0" shapeId="0">
      <text>
        <r>
          <rPr>
            <b/>
            <sz val="9"/>
            <color indexed="81"/>
            <rFont val="Tahoma"/>
            <family val="2"/>
          </rPr>
          <t>Brandon Noel:</t>
        </r>
        <r>
          <rPr>
            <sz val="9"/>
            <color indexed="81"/>
            <rFont val="Tahoma"/>
            <family val="2"/>
          </rPr>
          <t xml:space="preserve">
Pneumatic Maintenance Cost Directions:
If one particular tool type has a different maintenance cost than the average inputted in the General Information section simply put the different cost into this question.</t>
        </r>
      </text>
    </comment>
    <comment ref="A58" authorId="0" shapeId="0">
      <text>
        <r>
          <rPr>
            <b/>
            <sz val="9"/>
            <color indexed="81"/>
            <rFont val="Tahoma"/>
            <family val="2"/>
          </rPr>
          <t>Brandon Noel:</t>
        </r>
        <r>
          <rPr>
            <sz val="9"/>
            <color indexed="81"/>
            <rFont val="Tahoma"/>
            <family val="2"/>
          </rPr>
          <t xml:space="preserve">
Replacement Maintenance Cost Directions:
If one particular tool type has a different maintenance cost than the average inputted in the General Information section simply put the different cost into this question.</t>
        </r>
      </text>
    </comment>
    <comment ref="A65" authorId="0" shapeId="0">
      <text>
        <r>
          <rPr>
            <b/>
            <u/>
            <sz val="9"/>
            <color indexed="81"/>
            <rFont val="Tahoma"/>
            <family val="2"/>
          </rPr>
          <t>Annual Electric Current Cost (Pneumatic Tools):</t>
        </r>
        <r>
          <rPr>
            <sz val="9"/>
            <color indexed="81"/>
            <rFont val="Tahoma"/>
            <family val="2"/>
          </rPr>
          <t xml:space="preserve">
The estimated annual electricity costs to operate the inputted pneumatic tools. A range is provided, based on both nearly ideal compressor system efficiency model ("high estimate"), and a low compressor system efficiency model ("low estimate"), that is about 5-20% less efficient than an average system efficiency level. The price per kWh used is $0.0702.
</t>
        </r>
        <r>
          <rPr>
            <b/>
            <u/>
            <sz val="9"/>
            <color indexed="81"/>
            <rFont val="Tahoma"/>
            <family val="2"/>
          </rPr>
          <t>Annual Electric Anticipated Cost (Electric Tools):</t>
        </r>
        <r>
          <rPr>
            <sz val="9"/>
            <color indexed="81"/>
            <rFont val="Tahoma"/>
            <family val="2"/>
          </rPr>
          <t xml:space="preserve">
The estimated electricity costs to operate the electric tools that will replace the pneumatics for one year. The price per kWh used is $0.0702.</t>
        </r>
      </text>
    </comment>
    <comment ref="E65" authorId="1" shapeId="0">
      <text>
        <r>
          <rPr>
            <b/>
            <sz val="9"/>
            <color indexed="81"/>
            <rFont val="Tahoma"/>
            <family val="2"/>
          </rPr>
          <t>Jon C Vanyo:</t>
        </r>
        <r>
          <rPr>
            <sz val="9"/>
            <color indexed="81"/>
            <rFont val="Tahoma"/>
            <family val="2"/>
          </rPr>
          <t xml:space="preserve">
This column is filled after inputting custom compressor information above.</t>
        </r>
      </text>
    </comment>
    <comment ref="I65" authorId="1" shapeId="0">
      <text>
        <r>
          <rPr>
            <b/>
            <sz val="9"/>
            <color indexed="81"/>
            <rFont val="Tahoma"/>
            <family val="2"/>
          </rPr>
          <t>Jon C Vanyo:</t>
        </r>
        <r>
          <rPr>
            <sz val="9"/>
            <color indexed="81"/>
            <rFont val="Tahoma"/>
            <family val="2"/>
          </rPr>
          <t xml:space="preserve">
This column is filled after inputting custom compressor information above.</t>
        </r>
      </text>
    </comment>
    <comment ref="A68" authorId="0" shapeId="0">
      <text>
        <r>
          <rPr>
            <b/>
            <u/>
            <sz val="9"/>
            <color indexed="81"/>
            <rFont val="Tahoma"/>
            <family val="2"/>
          </rPr>
          <t>Annualized Pneumatic Tool Replacement Cost:</t>
        </r>
        <r>
          <rPr>
            <sz val="9"/>
            <color indexed="81"/>
            <rFont val="Tahoma"/>
            <family val="2"/>
          </rPr>
          <t xml:space="preserve">
The annualized cost of buying new pneumatic tools because the previous tools needed to be replaced due to wear and tear.
</t>
        </r>
        <r>
          <rPr>
            <i/>
            <sz val="9"/>
            <color indexed="81"/>
            <rFont val="Tahoma"/>
            <family val="2"/>
          </rPr>
          <t>Pneumatic Tool Cost = (Initial Cost)*(Quantity)/(Lifetime in years)</t>
        </r>
        <r>
          <rPr>
            <sz val="9"/>
            <color indexed="81"/>
            <rFont val="Tahoma"/>
            <family val="2"/>
          </rPr>
          <t xml:space="preserve">
</t>
        </r>
        <r>
          <rPr>
            <b/>
            <u/>
            <sz val="9"/>
            <color indexed="81"/>
            <rFont val="Tahoma"/>
            <family val="2"/>
          </rPr>
          <t>Annualized Electric Tool Replacement Cost:</t>
        </r>
        <r>
          <rPr>
            <sz val="9"/>
            <color indexed="81"/>
            <rFont val="Tahoma"/>
            <family val="2"/>
          </rPr>
          <t xml:space="preserve">
The annualized cost of buying new electric tools because they needed to be replaced due to wear and tear.
</t>
        </r>
        <r>
          <rPr>
            <i/>
            <sz val="9"/>
            <color indexed="81"/>
            <rFont val="Tahoma"/>
            <family val="2"/>
          </rPr>
          <t>Electric Tool Cost = (Initial Cost)*(Quantity)/(Lifetime in years)</t>
        </r>
      </text>
    </comment>
    <comment ref="A69" authorId="0" shapeId="0">
      <text>
        <r>
          <rPr>
            <b/>
            <sz val="9"/>
            <color indexed="81"/>
            <rFont val="Tahoma"/>
            <family val="2"/>
          </rPr>
          <t>Brandon Noel:</t>
        </r>
        <r>
          <rPr>
            <sz val="9"/>
            <color indexed="81"/>
            <rFont val="Tahoma"/>
            <family val="2"/>
          </rPr>
          <t xml:space="preserve">
Total Projected Savings Explanation:
The total amount of money per year you can expect to save by replacing your pneumatic tools with electric.</t>
        </r>
      </text>
    </comment>
    <comment ref="A74" authorId="0" shapeId="0">
      <text>
        <r>
          <rPr>
            <b/>
            <sz val="9"/>
            <color indexed="81"/>
            <rFont val="Tahoma"/>
            <family val="2"/>
          </rPr>
          <t>Brandon Noel:</t>
        </r>
        <r>
          <rPr>
            <sz val="9"/>
            <color indexed="81"/>
            <rFont val="Tahoma"/>
            <family val="2"/>
          </rPr>
          <t xml:space="preserve">
Total Projected Savings Explanation:
The total amount of money per year you can expect to save by replacing your pneumatic tools with electric.</t>
        </r>
      </text>
    </comment>
    <comment ref="E74" authorId="1" shapeId="0">
      <text>
        <r>
          <rPr>
            <b/>
            <sz val="9"/>
            <color indexed="81"/>
            <rFont val="Tahoma"/>
            <family val="2"/>
          </rPr>
          <t>Jon C Vanyo:</t>
        </r>
        <r>
          <rPr>
            <sz val="9"/>
            <color indexed="81"/>
            <rFont val="Tahoma"/>
            <family val="2"/>
          </rPr>
          <t xml:space="preserve">
This column is filled after inputting custom compressor information above.</t>
        </r>
      </text>
    </comment>
    <comment ref="A76" authorId="0" shapeId="0">
      <text>
        <r>
          <rPr>
            <b/>
            <sz val="9"/>
            <color indexed="81"/>
            <rFont val="Tahoma"/>
            <family val="2"/>
          </rPr>
          <t>Brandon Noel:</t>
        </r>
        <r>
          <rPr>
            <sz val="9"/>
            <color indexed="81"/>
            <rFont val="Tahoma"/>
            <family val="2"/>
          </rPr>
          <t xml:space="preserve">
Cost of New Electric Tools Explanation:
The initial cost to replace your pneumatic tools with electric.</t>
        </r>
      </text>
    </comment>
    <comment ref="A77" authorId="0" shapeId="0">
      <text>
        <r>
          <rPr>
            <b/>
            <sz val="9"/>
            <color indexed="81"/>
            <rFont val="Tahoma"/>
            <family val="2"/>
          </rPr>
          <t>Brandon Noel:</t>
        </r>
        <r>
          <rPr>
            <sz val="9"/>
            <color indexed="81"/>
            <rFont val="Tahoma"/>
            <family val="2"/>
          </rPr>
          <t xml:space="preserve">
Payback Time Explanation:
The number of months you can expect it will take before you break even on your investment of replacing your pneumatic tools with electric. Note that for every year after this period of time you will be saving an amount equal to the total projected savings. This is because the cost difference between pneumatic and electric tools due to buying new ones over time has already been calculated into the total projected savings.</t>
        </r>
      </text>
    </comment>
    <comment ref="E82" authorId="1" shapeId="0">
      <text>
        <r>
          <rPr>
            <b/>
            <sz val="9"/>
            <color indexed="81"/>
            <rFont val="Tahoma"/>
            <family val="2"/>
          </rPr>
          <t>Jon C Vanyo:</t>
        </r>
        <r>
          <rPr>
            <sz val="9"/>
            <color indexed="81"/>
            <rFont val="Tahoma"/>
            <family val="2"/>
          </rPr>
          <t xml:space="preserve">
</t>
        </r>
      </text>
    </comment>
    <comment ref="A90" authorId="0" shapeId="0">
      <text>
        <r>
          <rPr>
            <b/>
            <sz val="9"/>
            <color indexed="81"/>
            <rFont val="Tahoma"/>
            <family val="2"/>
          </rPr>
          <t>Brandon Noel:</t>
        </r>
        <r>
          <rPr>
            <sz val="9"/>
            <color indexed="81"/>
            <rFont val="Tahoma"/>
            <family val="2"/>
          </rPr>
          <t xml:space="preserve">
Emission Calculations Description:
These calculations are done using the EPA's greenhouse gas equivalency calculator. https://www.epa.gov/energy/greenhouse-gases-equivalencies-calculator-calculations-and-references</t>
        </r>
      </text>
    </comment>
    <comment ref="O101" authorId="1" shapeId="0">
      <text>
        <r>
          <rPr>
            <b/>
            <sz val="9"/>
            <color indexed="81"/>
            <rFont val="Tahoma"/>
            <family val="2"/>
          </rPr>
          <t>Jon C Vanyo:</t>
        </r>
        <r>
          <rPr>
            <sz val="9"/>
            <color indexed="81"/>
            <rFont val="Tahoma"/>
            <family val="2"/>
          </rPr>
          <t xml:space="preserve">
I am removing the maintenance cost estimates from the calculations - I don't know where these numbers came from and they are small anyway.  Users can still type in manual maintenance costs.</t>
        </r>
      </text>
    </comment>
    <comment ref="S113" authorId="0" shapeId="0">
      <text>
        <r>
          <rPr>
            <b/>
            <sz val="9"/>
            <color indexed="81"/>
            <rFont val="Tahoma"/>
            <family val="2"/>
          </rPr>
          <t>Brandon Noel:</t>
        </r>
        <r>
          <rPr>
            <sz val="9"/>
            <color indexed="81"/>
            <rFont val="Tahoma"/>
            <family val="2"/>
          </rPr>
          <t xml:space="preserve">
if unsure the type is -1</t>
        </r>
      </text>
    </comment>
    <comment ref="S115" authorId="0" shapeId="0">
      <text>
        <r>
          <rPr>
            <b/>
            <sz val="9"/>
            <color indexed="81"/>
            <rFont val="Tahoma"/>
            <family val="2"/>
          </rPr>
          <t>Brandon Noel:</t>
        </r>
        <r>
          <rPr>
            <sz val="9"/>
            <color indexed="81"/>
            <rFont val="Tahoma"/>
            <family val="2"/>
          </rPr>
          <t xml:space="preserve">
if unsure about type use single-stage rotary screw</t>
        </r>
      </text>
    </comment>
    <comment ref="S116" authorId="0" shapeId="0">
      <text>
        <r>
          <rPr>
            <b/>
            <sz val="9"/>
            <color indexed="81"/>
            <rFont val="Tahoma"/>
            <family val="2"/>
          </rPr>
          <t>Brandon Noel:</t>
        </r>
        <r>
          <rPr>
            <sz val="9"/>
            <color indexed="81"/>
            <rFont val="Tahoma"/>
            <family val="2"/>
          </rPr>
          <t xml:space="preserve">
have formula for all possible unsure conditions of control method and load%</t>
        </r>
      </text>
    </comment>
    <comment ref="S117" authorId="0" shapeId="0">
      <text>
        <r>
          <rPr>
            <b/>
            <sz val="9"/>
            <color indexed="81"/>
            <rFont val="Tahoma"/>
            <family val="2"/>
          </rPr>
          <t>Brandon Noel:</t>
        </r>
        <r>
          <rPr>
            <sz val="9"/>
            <color indexed="81"/>
            <rFont val="Tahoma"/>
            <family val="2"/>
          </rPr>
          <t xml:space="preserve">
50% average load and control method default is load/unload
</t>
        </r>
      </text>
    </comment>
    <comment ref="S129" authorId="0" shapeId="0">
      <text>
        <r>
          <rPr>
            <b/>
            <sz val="9"/>
            <color indexed="81"/>
            <rFont val="Tahoma"/>
            <family val="2"/>
          </rPr>
          <t>Brandon Noel:</t>
        </r>
        <r>
          <rPr>
            <sz val="9"/>
            <color indexed="81"/>
            <rFont val="Tahoma"/>
            <family val="2"/>
          </rPr>
          <t xml:space="preserve">
Uses the default value if no lifetime is entered for the specific tool. If a lifetime is entered then that lifetime is used over the default. </t>
        </r>
      </text>
    </comment>
    <comment ref="S130" authorId="0" shapeId="0">
      <text>
        <r>
          <rPr>
            <b/>
            <sz val="9"/>
            <color indexed="81"/>
            <rFont val="Tahoma"/>
            <family val="2"/>
          </rPr>
          <t>Brandon Noel:</t>
        </r>
        <r>
          <rPr>
            <sz val="9"/>
            <color indexed="81"/>
            <rFont val="Tahoma"/>
            <family val="2"/>
          </rPr>
          <t xml:space="preserve">
Assumption that electric tools last 2.5 years.</t>
        </r>
      </text>
    </comment>
    <comment ref="S131" authorId="0" shapeId="0">
      <text>
        <r>
          <rPr>
            <b/>
            <sz val="9"/>
            <color indexed="81"/>
            <rFont val="Tahoma"/>
            <family val="2"/>
          </rPr>
          <t>Brandon Noel:</t>
        </r>
        <r>
          <rPr>
            <sz val="9"/>
            <color indexed="81"/>
            <rFont val="Tahoma"/>
            <family val="2"/>
          </rPr>
          <t xml:space="preserve">
Assumption that cordless tools last 2.5 years.</t>
        </r>
      </text>
    </comment>
    <comment ref="S132" authorId="0" shapeId="0">
      <text>
        <r>
          <rPr>
            <b/>
            <sz val="9"/>
            <color indexed="81"/>
            <rFont val="Tahoma"/>
            <family val="2"/>
          </rPr>
          <t>Brandon Noel:</t>
        </r>
        <r>
          <rPr>
            <sz val="9"/>
            <color indexed="81"/>
            <rFont val="Tahoma"/>
            <family val="2"/>
          </rPr>
          <t xml:space="preserve">
This is not really the right calculation as it uses the expected cost of electrical equivalent which may or may not be cordless.</t>
        </r>
      </text>
    </comment>
    <comment ref="S133" authorId="0" shapeId="0">
      <text>
        <r>
          <rPr>
            <b/>
            <sz val="9"/>
            <color indexed="81"/>
            <rFont val="Tahoma"/>
            <family val="2"/>
          </rPr>
          <t>Brandon Noel:</t>
        </r>
        <r>
          <rPr>
            <sz val="9"/>
            <color indexed="81"/>
            <rFont val="Tahoma"/>
            <family val="2"/>
          </rPr>
          <t xml:space="preserve">
The cost of the cordless kit times the number of tools replaced.</t>
        </r>
      </text>
    </comment>
    <comment ref="S138" authorId="0" shapeId="0">
      <text>
        <r>
          <rPr>
            <b/>
            <sz val="9"/>
            <color indexed="81"/>
            <rFont val="Tahoma"/>
            <family val="2"/>
          </rPr>
          <t>Brandon Noel:</t>
        </r>
        <r>
          <rPr>
            <sz val="9"/>
            <color indexed="81"/>
            <rFont val="Tahoma"/>
            <family val="2"/>
          </rPr>
          <t xml:space="preserve">
Sum of cordless kit costs with the grainger cost factor.</t>
        </r>
      </text>
    </comment>
    <comment ref="S144" authorId="0" shapeId="0">
      <text>
        <r>
          <rPr>
            <b/>
            <sz val="9"/>
            <color indexed="81"/>
            <rFont val="Tahoma"/>
            <family val="2"/>
          </rPr>
          <t>Brandon Noel:</t>
        </r>
        <r>
          <rPr>
            <sz val="9"/>
            <color indexed="81"/>
            <rFont val="Tahoma"/>
            <family val="2"/>
          </rPr>
          <t xml:space="preserve">
Blank -1
Unsure 0
Corded 1
Cordless 2</t>
        </r>
      </text>
    </comment>
    <comment ref="S145" authorId="0" shapeId="0">
      <text>
        <r>
          <rPr>
            <b/>
            <sz val="9"/>
            <color indexed="81"/>
            <rFont val="Tahoma"/>
            <family val="2"/>
          </rPr>
          <t>Brandon Noel:</t>
        </r>
        <r>
          <rPr>
            <sz val="9"/>
            <color indexed="81"/>
            <rFont val="Tahoma"/>
            <family val="2"/>
          </rPr>
          <t xml:space="preserve">
default to corded maintenance costs</t>
        </r>
      </text>
    </comment>
    <comment ref="S150" authorId="0" shapeId="0">
      <text>
        <r>
          <rPr>
            <b/>
            <sz val="9"/>
            <color indexed="81"/>
            <rFont val="Tahoma"/>
            <family val="2"/>
          </rPr>
          <t>Brandon Noel:</t>
        </r>
        <r>
          <rPr>
            <sz val="9"/>
            <color indexed="81"/>
            <rFont val="Tahoma"/>
            <family val="2"/>
          </rPr>
          <t xml:space="preserve">
Uses the default value if no lifetime is entered for the specific tool. If a lifetime is entered then that lifetime is used over the default. </t>
        </r>
      </text>
    </comment>
    <comment ref="S151" authorId="0" shapeId="0">
      <text>
        <r>
          <rPr>
            <b/>
            <sz val="9"/>
            <color indexed="81"/>
            <rFont val="Tahoma"/>
            <family val="2"/>
          </rPr>
          <t>Brandon Noel:</t>
        </r>
        <r>
          <rPr>
            <sz val="9"/>
            <color indexed="81"/>
            <rFont val="Tahoma"/>
            <family val="2"/>
          </rPr>
          <t xml:space="preserve">
Assumption that electric tools last 2.5 years.</t>
        </r>
      </text>
    </comment>
    <comment ref="S152" authorId="0" shapeId="0">
      <text>
        <r>
          <rPr>
            <b/>
            <sz val="9"/>
            <color indexed="81"/>
            <rFont val="Tahoma"/>
            <family val="2"/>
          </rPr>
          <t>Brandon Noel:</t>
        </r>
        <r>
          <rPr>
            <sz val="9"/>
            <color indexed="81"/>
            <rFont val="Tahoma"/>
            <family val="2"/>
          </rPr>
          <t xml:space="preserve">
Assumption that cordless tools last 2.5 years.</t>
        </r>
      </text>
    </comment>
    <comment ref="S153" authorId="0" shapeId="0">
      <text>
        <r>
          <rPr>
            <b/>
            <sz val="9"/>
            <color indexed="81"/>
            <rFont val="Tahoma"/>
            <family val="2"/>
          </rPr>
          <t>Brandon Noel:</t>
        </r>
        <r>
          <rPr>
            <sz val="9"/>
            <color indexed="81"/>
            <rFont val="Tahoma"/>
            <family val="2"/>
          </rPr>
          <t xml:space="preserve">
This is not really the right calculation as it uses the expected cost of electrical equivalent which may or may not be cordless.</t>
        </r>
      </text>
    </comment>
    <comment ref="S154" authorId="0" shapeId="0">
      <text>
        <r>
          <rPr>
            <b/>
            <sz val="9"/>
            <color indexed="81"/>
            <rFont val="Tahoma"/>
            <family val="2"/>
          </rPr>
          <t>Brandon Noel:</t>
        </r>
        <r>
          <rPr>
            <sz val="9"/>
            <color indexed="81"/>
            <rFont val="Tahoma"/>
            <family val="2"/>
          </rPr>
          <t xml:space="preserve">
The cost of the cordless kit times the number of tools replaced.</t>
        </r>
      </text>
    </comment>
    <comment ref="S159" authorId="0" shapeId="0">
      <text>
        <r>
          <rPr>
            <b/>
            <sz val="9"/>
            <color indexed="81"/>
            <rFont val="Tahoma"/>
            <family val="2"/>
          </rPr>
          <t>Brandon Noel:</t>
        </r>
        <r>
          <rPr>
            <sz val="9"/>
            <color indexed="81"/>
            <rFont val="Tahoma"/>
            <family val="2"/>
          </rPr>
          <t xml:space="preserve">
Sum of cordless kit costs with the grainger cost factor.</t>
        </r>
      </text>
    </comment>
    <comment ref="S165" authorId="0" shapeId="0">
      <text>
        <r>
          <rPr>
            <b/>
            <sz val="9"/>
            <color indexed="81"/>
            <rFont val="Tahoma"/>
            <family val="2"/>
          </rPr>
          <t>Brandon Noel:</t>
        </r>
        <r>
          <rPr>
            <sz val="9"/>
            <color indexed="81"/>
            <rFont val="Tahoma"/>
            <family val="2"/>
          </rPr>
          <t xml:space="preserve">
Blank -1
Unsure 0
Corded 1
Cordless 2</t>
        </r>
      </text>
    </comment>
  </commentList>
</comments>
</file>

<file path=xl/comments3.xml><?xml version="1.0" encoding="utf-8"?>
<comments xmlns="http://schemas.openxmlformats.org/spreadsheetml/2006/main">
  <authors>
    <author>Brandon Noel</author>
  </authors>
  <commentList>
    <comment ref="A1" authorId="0" shapeId="0">
      <text>
        <r>
          <rPr>
            <b/>
            <sz val="9"/>
            <color indexed="81"/>
            <rFont val="Tahoma"/>
            <family val="2"/>
          </rPr>
          <t>Brandon Noel:</t>
        </r>
        <r>
          <rPr>
            <sz val="9"/>
            <color indexed="81"/>
            <rFont val="Tahoma"/>
            <family val="2"/>
          </rPr>
          <t xml:space="preserve">
See the red triangle in the upper right corner of this cell? That means this cell has a comment.</t>
        </r>
      </text>
    </comment>
    <comment ref="A4" authorId="0" shapeId="0">
      <text>
        <r>
          <rPr>
            <b/>
            <sz val="9"/>
            <color indexed="81"/>
            <rFont val="Tahoma"/>
            <family val="2"/>
          </rPr>
          <t>Brandon Noel:</t>
        </r>
        <r>
          <rPr>
            <sz val="9"/>
            <color indexed="81"/>
            <rFont val="Tahoma"/>
            <family val="2"/>
          </rPr>
          <t xml:space="preserve">
If you are looking at buying a completely new system I would recommend using the initial cost. If you already have bought the system, I recommend not using the initial cost as it is a sunk cost.</t>
        </r>
      </text>
    </comment>
    <comment ref="A5" authorId="0" shapeId="0">
      <text>
        <r>
          <rPr>
            <b/>
            <sz val="9"/>
            <color indexed="81"/>
            <rFont val="Tahoma"/>
            <family val="2"/>
          </rPr>
          <t>Brandon Noel:</t>
        </r>
        <r>
          <rPr>
            <sz val="9"/>
            <color indexed="81"/>
            <rFont val="Tahoma"/>
            <family val="2"/>
          </rPr>
          <t xml:space="preserve">
Include any initial costs related to the air compressor or the pneumatic tools besides the initial cost of the pneumatic tools. This includes things like the air compressor(s), dryers, filters, filter regulator lubricators (FRL), connectors, hoses and installation costs. </t>
        </r>
      </text>
    </comment>
    <comment ref="A6" authorId="0" shapeId="0">
      <text>
        <r>
          <rPr>
            <b/>
            <sz val="9"/>
            <color indexed="81"/>
            <rFont val="Tahoma"/>
            <family val="2"/>
          </rPr>
          <t>Brandon Noel:</t>
        </r>
        <r>
          <rPr>
            <sz val="9"/>
            <color indexed="81"/>
            <rFont val="Tahoma"/>
            <family val="2"/>
          </rPr>
          <t xml:space="preserve">
Simply the time you expect the compressor system to last before you have to buy a new system. I understand that not all of the system components are going to have the same lifetime so use your best judgement. An average number is around 10-20 years.</t>
        </r>
      </text>
    </comment>
    <comment ref="A7" authorId="0" shapeId="0">
      <text>
        <r>
          <rPr>
            <b/>
            <sz val="9"/>
            <color indexed="81"/>
            <rFont val="Tahoma"/>
            <family val="2"/>
          </rPr>
          <t>Brandon Noel:</t>
        </r>
        <r>
          <rPr>
            <sz val="9"/>
            <color indexed="81"/>
            <rFont val="Tahoma"/>
            <family val="2"/>
          </rPr>
          <t xml:space="preserve">
The estimate of 20% is derived from calling compressed air system auditors as well as information from airbestpractices.com. The leak % can be less than 10% if leaks are very well maintained.
There are a couple ways to estimate your leaks depending on the type of system you have. Check out the references in the guide for more information.</t>
        </r>
      </text>
    </comment>
    <comment ref="A13" authorId="0" shapeId="0">
      <text>
        <r>
          <rPr>
            <b/>
            <sz val="9"/>
            <color indexed="81"/>
            <rFont val="Tahoma"/>
            <family val="2"/>
          </rPr>
          <t>Brandon Noel:</t>
        </r>
        <r>
          <rPr>
            <sz val="9"/>
            <color indexed="81"/>
            <rFont val="Tahoma"/>
            <family val="2"/>
          </rPr>
          <t xml:space="preserve">
Most places that have a large amount of cordless tools use one brand so that all the batteries can work in all the tools.
Some batteries cost more than others. It depends on the battery capacity in amp-hours, the voltage and the brand. A table of battery costs is in the guide. The $85 comes from the average of 18 and 20 volt batteries with 2,4,5 amp-hour capacity which are typical power tool batteries.</t>
        </r>
      </text>
    </comment>
    <comment ref="A14" authorId="0" shapeId="0">
      <text>
        <r>
          <rPr>
            <b/>
            <sz val="9"/>
            <color indexed="81"/>
            <rFont val="Tahoma"/>
            <family val="2"/>
          </rPr>
          <t>Brandon Noel:</t>
        </r>
        <r>
          <rPr>
            <sz val="9"/>
            <color indexed="81"/>
            <rFont val="Tahoma"/>
            <family val="2"/>
          </rPr>
          <t xml:space="preserve">
Our default is one year but with proper care batteries should last longer. Many batteries come with a 1 year warranty.This low estimate keeps the cost savings estimate conservative.</t>
        </r>
      </text>
    </comment>
    <comment ref="A15" authorId="0" shapeId="0">
      <text>
        <r>
          <rPr>
            <b/>
            <sz val="9"/>
            <color indexed="81"/>
            <rFont val="Tahoma"/>
            <family val="2"/>
          </rPr>
          <t>Brandon Noel:</t>
        </r>
        <r>
          <rPr>
            <sz val="9"/>
            <color indexed="81"/>
            <rFont val="Tahoma"/>
            <family val="2"/>
          </rPr>
          <t xml:space="preserve">
The default value is the average of the most common battery capacities; 2,4,5</t>
        </r>
      </text>
    </comment>
    <comment ref="A16" authorId="0" shapeId="0">
      <text>
        <r>
          <rPr>
            <b/>
            <sz val="9"/>
            <color indexed="81"/>
            <rFont val="Tahoma"/>
            <family val="2"/>
          </rPr>
          <t>Brandon Noel:</t>
        </r>
        <r>
          <rPr>
            <sz val="9"/>
            <color indexed="81"/>
            <rFont val="Tahoma"/>
            <family val="2"/>
          </rPr>
          <t xml:space="preserve">
Include things like oil or any labor costs to do things like replacing vanes. Any parts or labor should be included.</t>
        </r>
      </text>
    </comment>
    <comment ref="A17" authorId="0" shapeId="0">
      <text>
        <r>
          <rPr>
            <b/>
            <sz val="9"/>
            <color indexed="81"/>
            <rFont val="Tahoma"/>
            <family val="2"/>
          </rPr>
          <t>Brandon Noel:</t>
        </r>
        <r>
          <rPr>
            <sz val="9"/>
            <color indexed="81"/>
            <rFont val="Tahoma"/>
            <family val="2"/>
          </rPr>
          <t xml:space="preserve">
Include things like rewinding the motor or replacing any parts. Any parts or labor should be included.</t>
        </r>
      </text>
    </comment>
    <comment ref="A18" authorId="0" shapeId="0">
      <text>
        <r>
          <rPr>
            <b/>
            <sz val="9"/>
            <color indexed="81"/>
            <rFont val="Tahoma"/>
            <family val="2"/>
          </rPr>
          <t>Brandon Noel:</t>
        </r>
        <r>
          <rPr>
            <sz val="9"/>
            <color indexed="81"/>
            <rFont val="Tahoma"/>
            <family val="2"/>
          </rPr>
          <t xml:space="preserve">
Include things like buying a new charger because the one that came with the tool broke. Chargers typically cost around $100. Any parts or labor should be included.</t>
        </r>
      </text>
    </comment>
    <comment ref="A19" authorId="0" shapeId="0">
      <text>
        <r>
          <rPr>
            <b/>
            <sz val="9"/>
            <color indexed="81"/>
            <rFont val="Tahoma"/>
            <family val="2"/>
          </rPr>
          <t>Brandon Noel:</t>
        </r>
        <r>
          <rPr>
            <sz val="9"/>
            <color indexed="81"/>
            <rFont val="Tahoma"/>
            <family val="2"/>
          </rPr>
          <t xml:space="preserve">
The default values are derived from the 30 manufacturing businesses we have called.</t>
        </r>
      </text>
    </comment>
    <comment ref="A25" authorId="0" shapeId="0">
      <text>
        <r>
          <rPr>
            <b/>
            <sz val="9"/>
            <color indexed="81"/>
            <rFont val="Tahoma"/>
            <family val="2"/>
          </rPr>
          <t>Brandon Noel:</t>
        </r>
        <r>
          <rPr>
            <sz val="9"/>
            <color indexed="81"/>
            <rFont val="Tahoma"/>
            <family val="2"/>
          </rPr>
          <t xml:space="preserve">
The default value is $0.0698 per kWh which is the average industrial electricity rate in Minnesota in 2013. 
If you want to use your own cost, please use an average cost per kWh. This will be a blended average between usage and demand costs. The average $/kWh rates in Minnesota are $0.1181 for residential, $0.0942 for commercial, $0.0698 for industrial, and $0.0979 for transportation. 
Source: Energy Information Administration 2013 Electricity Rates.
http://www.eia.gov/electricity/state/archive/2013/minnesota/</t>
        </r>
      </text>
    </comment>
    <comment ref="D25" authorId="0" shapeId="0">
      <text>
        <r>
          <rPr>
            <b/>
            <sz val="9"/>
            <color indexed="81"/>
            <rFont val="Tahoma"/>
            <family val="2"/>
          </rPr>
          <t>Brandon Noel:</t>
        </r>
        <r>
          <rPr>
            <sz val="9"/>
            <color indexed="81"/>
            <rFont val="Tahoma"/>
            <family val="2"/>
          </rPr>
          <t xml:space="preserve">
EIA 2015 Minnesota Industry Average</t>
        </r>
      </text>
    </comment>
  </commentList>
</comments>
</file>

<file path=xl/comments4.xml><?xml version="1.0" encoding="utf-8"?>
<comments xmlns="http://schemas.openxmlformats.org/spreadsheetml/2006/main">
  <authors>
    <author>Brandon Noel</author>
  </authors>
  <commentList>
    <comment ref="A4" authorId="0" shapeId="0">
      <text>
        <r>
          <rPr>
            <b/>
            <sz val="9"/>
            <color indexed="81"/>
            <rFont val="Tahoma"/>
            <family val="2"/>
          </rPr>
          <t>Brandon Noel:</t>
        </r>
        <r>
          <rPr>
            <sz val="9"/>
            <color indexed="81"/>
            <rFont val="Tahoma"/>
            <family val="2"/>
          </rPr>
          <t xml:space="preserve">
This is the discharge pressure right out of the air compressor. If you are not sure what PSI the discharge pressure is you can use 115 as a default.</t>
        </r>
      </text>
    </comment>
    <comment ref="A5" authorId="0" shapeId="0">
      <text>
        <r>
          <rPr>
            <b/>
            <sz val="9"/>
            <color indexed="81"/>
            <rFont val="Tahoma"/>
            <family val="2"/>
          </rPr>
          <t>Brandon Noel:</t>
        </r>
        <r>
          <rPr>
            <sz val="9"/>
            <color indexed="81"/>
            <rFont val="Tahoma"/>
            <family val="2"/>
          </rPr>
          <t xml:space="preserve">
If you have a rotary screw compressor less than 100 HP it is almost certainly a single stage rotary screw compressor.</t>
        </r>
      </text>
    </comment>
    <comment ref="E5" authorId="0" shapeId="0">
      <text>
        <r>
          <rPr>
            <b/>
            <sz val="9"/>
            <color indexed="81"/>
            <rFont val="Tahoma"/>
            <family val="2"/>
          </rPr>
          <t>Brandon Noel:</t>
        </r>
        <r>
          <rPr>
            <sz val="9"/>
            <color indexed="81"/>
            <rFont val="Tahoma"/>
            <family val="2"/>
          </rPr>
          <t xml:space="preserve">
assumes an average load percent of %50 of capacity</t>
        </r>
      </text>
    </comment>
    <comment ref="A7" authorId="0" shapeId="0">
      <text>
        <r>
          <rPr>
            <b/>
            <sz val="9"/>
            <color indexed="81"/>
            <rFont val="Tahoma"/>
            <family val="2"/>
          </rPr>
          <t>Brandon Noel:</t>
        </r>
        <r>
          <rPr>
            <sz val="9"/>
            <color indexed="81"/>
            <rFont val="Tahoma"/>
            <family val="2"/>
          </rPr>
          <t xml:space="preserve">
The horsepower from the nameplate.</t>
        </r>
      </text>
    </comment>
  </commentList>
</comments>
</file>

<file path=xl/comments5.xml><?xml version="1.0" encoding="utf-8"?>
<comments xmlns="http://schemas.openxmlformats.org/spreadsheetml/2006/main">
  <authors>
    <author>Brandon Noel</author>
  </authors>
  <commentList>
    <comment ref="B4" authorId="0" shapeId="0">
      <text>
        <r>
          <rPr>
            <b/>
            <sz val="9"/>
            <color indexed="81"/>
            <rFont val="Tahoma"/>
            <family val="2"/>
          </rPr>
          <t>Brandon Noel:</t>
        </r>
        <r>
          <rPr>
            <sz val="9"/>
            <color indexed="81"/>
            <rFont val="Tahoma"/>
            <family val="2"/>
          </rPr>
          <t xml:space="preserve">
Low effificiency system. This estimate assumes the compressor takes 30kW for every 100CFM generated. Poor compressor maintenance, high amounts of leaks or other problems can easily reduce average system efficiency to this level or worse.</t>
        </r>
      </text>
    </comment>
    <comment ref="C4" authorId="0" shapeId="0">
      <text>
        <r>
          <rPr>
            <b/>
            <sz val="9"/>
            <color indexed="81"/>
            <rFont val="Tahoma"/>
            <family val="2"/>
          </rPr>
          <t>Brandon Noel:</t>
        </r>
        <r>
          <rPr>
            <sz val="9"/>
            <color indexed="81"/>
            <rFont val="Tahoma"/>
            <family val="2"/>
          </rPr>
          <t xml:space="preserve">
Moderate efficiency system. This estimates assumes that a compressor takes 25kW of electricity to generate 100 CFM of compressed air. Most companies will have systems slightly less efficient than this efficiency.
</t>
        </r>
      </text>
    </comment>
    <comment ref="D4" authorId="0" shapeId="0">
      <text>
        <r>
          <rPr>
            <b/>
            <sz val="9"/>
            <color indexed="81"/>
            <rFont val="Tahoma"/>
            <family val="2"/>
          </rPr>
          <t>Brandon Noel:</t>
        </r>
        <r>
          <rPr>
            <sz val="9"/>
            <color indexed="81"/>
            <rFont val="Tahoma"/>
            <family val="2"/>
          </rPr>
          <t xml:space="preserve">
Very high efficiency system. This estimate assumes that the compressor system takes 20kW to produce 100CFM. This is equal to a compressor system basically continuously operating at full load (the most efficient place to operate for almost all compressors). Since virtually all compressed air systems have partial loading (which can greatly reduce efficiency) it is safe to say that very few companies have a system as efficient as this. If you do not know your compressor system efficiency then you almost certainly don't have a system this efficient.</t>
        </r>
      </text>
    </comment>
    <comment ref="A5" authorId="0" shapeId="0">
      <text>
        <r>
          <rPr>
            <b/>
            <sz val="9"/>
            <color indexed="81"/>
            <rFont val="Tahoma"/>
            <family val="2"/>
          </rPr>
          <t>Brandon Noel:</t>
        </r>
        <r>
          <rPr>
            <sz val="9"/>
            <color indexed="81"/>
            <rFont val="Tahoma"/>
            <family val="2"/>
          </rPr>
          <t xml:space="preserve">
This is the estimated energy cost to run all of your pneumatic hand tools for one year.
For each tool entered, the tool average CFM, # of tools, and hours used per year are multiplied. The sum of all of the tools entered is multiplied by the cost per kWh and divided by (1-leak rate). Depending on the high, medium, or low estimate that number is multiplied by a compressor efficiency. The units when everything is cancelled is dollars.</t>
        </r>
      </text>
    </comment>
    <comment ref="A6" authorId="0" shapeId="0">
      <text>
        <r>
          <rPr>
            <b/>
            <sz val="9"/>
            <color indexed="81"/>
            <rFont val="Tahoma"/>
            <family val="2"/>
          </rPr>
          <t>Brandon Noel:</t>
        </r>
        <r>
          <rPr>
            <sz val="9"/>
            <color indexed="81"/>
            <rFont val="Tahoma"/>
            <family val="2"/>
          </rPr>
          <t xml:space="preserve">
If all of your pneumatic tools were replaced with electric this would be the estimated energy cost for one year.
For each tool entered, the tool average amp rating, # of tools, and hours used per year are multiplied. The sum of all of the tools entered is multiplied by 120 volts to get it into watt hours and then divided by 1000 to get it into kWh. The sum is then multiplied by the cost per kWh. The units when everything is cancelled is dollars.
</t>
        </r>
      </text>
    </comment>
    <comment ref="A7" authorId="0" shapeId="0">
      <text>
        <r>
          <rPr>
            <b/>
            <sz val="9"/>
            <color indexed="81"/>
            <rFont val="Tahoma"/>
            <family val="2"/>
          </rPr>
          <t>Brandon Noel:</t>
        </r>
        <r>
          <rPr>
            <sz val="9"/>
            <color indexed="81"/>
            <rFont val="Tahoma"/>
            <family val="2"/>
          </rPr>
          <t xml:space="preserve">
The potential savings if all of the pneumatic tools were replaced with electric for one year.</t>
        </r>
      </text>
    </comment>
    <comment ref="A8" authorId="0" shapeId="0">
      <text>
        <r>
          <rPr>
            <b/>
            <sz val="9"/>
            <color indexed="81"/>
            <rFont val="Tahoma"/>
            <family val="2"/>
          </rPr>
          <t>Brandon Noel:</t>
        </r>
        <r>
          <rPr>
            <sz val="9"/>
            <color indexed="81"/>
            <rFont val="Tahoma"/>
            <family val="2"/>
          </rPr>
          <t xml:space="preserve">
Source: EPA
https://www.epa.gov/energy/greenhouse-gas-equivalencies-calculator</t>
        </r>
      </text>
    </comment>
    <comment ref="A19" authorId="0" shapeId="0">
      <text>
        <r>
          <rPr>
            <b/>
            <sz val="9"/>
            <color indexed="81"/>
            <rFont val="Tahoma"/>
            <family val="2"/>
          </rPr>
          <t>Brandon Noel:</t>
        </r>
        <r>
          <rPr>
            <sz val="9"/>
            <color indexed="81"/>
            <rFont val="Tahoma"/>
            <family val="2"/>
          </rPr>
          <t xml:space="preserve"> 
This estimate is simplistic in that it assumes all the system components will have the same lifetime but it is good enough for this estimate. It also is simplistic because it assumes half of the compressed air is used for pneumatic hand tools. The actual ratio could be higher or lower.
The estimated cost is (initial cost) / (lifetime of compressor system)*0.5</t>
        </r>
      </text>
    </comment>
    <comment ref="A20" authorId="0" shapeId="0">
      <text>
        <r>
          <rPr>
            <b/>
            <sz val="9"/>
            <color indexed="81"/>
            <rFont val="Tahoma"/>
            <family val="2"/>
          </rPr>
          <t>Brandon Noel:</t>
        </r>
        <r>
          <rPr>
            <sz val="9"/>
            <color indexed="81"/>
            <rFont val="Tahoma"/>
            <family val="2"/>
          </rPr>
          <t xml:space="preserve">
The estimated cost is your answer to "How much would you expect to save on the lower maintenance cost on your compressor system"?</t>
        </r>
      </text>
    </comment>
    <comment ref="A27" authorId="0" shapeId="0">
      <text>
        <r>
          <rPr>
            <b/>
            <sz val="9"/>
            <color indexed="81"/>
            <rFont val="Tahoma"/>
            <family val="2"/>
          </rPr>
          <t>Brandon Noel:</t>
        </r>
        <r>
          <rPr>
            <sz val="9"/>
            <color indexed="81"/>
            <rFont val="Tahoma"/>
            <family val="2"/>
          </rPr>
          <t xml:space="preserve">
Pneumatic tool cost = bare tool cost + annual maintenance costs</t>
        </r>
      </text>
    </comment>
    <comment ref="A28" authorId="0" shapeId="0">
      <text>
        <r>
          <rPr>
            <b/>
            <sz val="9"/>
            <color indexed="81"/>
            <rFont val="Tahoma"/>
            <family val="2"/>
          </rPr>
          <t>Brandon Noel:</t>
        </r>
        <r>
          <rPr>
            <sz val="9"/>
            <color indexed="81"/>
            <rFont val="Tahoma"/>
            <family val="2"/>
          </rPr>
          <t xml:space="preserve">
This is using the costs for the corded tools.
Corded electric tool cost = cost of bare tool + annual maintenance costs</t>
        </r>
      </text>
    </comment>
    <comment ref="A29" authorId="0" shapeId="0">
      <text>
        <r>
          <rPr>
            <b/>
            <sz val="9"/>
            <color indexed="81"/>
            <rFont val="Tahoma"/>
            <family val="2"/>
          </rPr>
          <t>Brandon Noel:</t>
        </r>
        <r>
          <rPr>
            <sz val="9"/>
            <color indexed="81"/>
            <rFont val="Tahoma"/>
            <family val="2"/>
          </rPr>
          <t xml:space="preserve">
If corded, new total annual savings  = (new total annual savings from above) + (annual pneumatic tool cost) - (annual corded electric tool cost)
If cordless, new total annual savings = (new total annual savings from above) + (annual pneumatic tool cost) - (annual cordless tool cost) - (annual battery cost)
If preference, new total annual savings = (new total annual savings from above) + (annual pneumatic tool cost) - (annual preference tool cost) -(annual battery cost)</t>
        </r>
      </text>
    </comment>
    <comment ref="H29" authorId="0" shapeId="0">
      <text>
        <r>
          <rPr>
            <b/>
            <sz val="9"/>
            <color indexed="81"/>
            <rFont val="Tahoma"/>
            <family val="2"/>
          </rPr>
          <t>Brandon Noel:</t>
        </r>
        <r>
          <rPr>
            <sz val="9"/>
            <color indexed="81"/>
            <rFont val="Tahoma"/>
            <family val="2"/>
          </rPr>
          <t xml:space="preserve">
This estimate uses the price of the bare tool and the annual maintenance costs.
Cordless tool cost = bare tool price + annual maintenance costs</t>
        </r>
      </text>
    </comment>
    <comment ref="A31" authorId="0" shapeId="0">
      <text>
        <r>
          <rPr>
            <b/>
            <sz val="9"/>
            <color indexed="81"/>
            <rFont val="Tahoma"/>
            <family val="2"/>
          </rPr>
          <t>Brandon Noel:</t>
        </r>
        <r>
          <rPr>
            <sz val="9"/>
            <color indexed="81"/>
            <rFont val="Tahoma"/>
            <family val="2"/>
          </rPr>
          <t xml:space="preserve">
This is what the initial investment would be to change the pneumatic tools out with cordless or corded depending on what you chose above. If you picked the estimate to use corded, then it is simply the initial cost of the corded tools. If you picked the estimate to use cordless, it is the initial cost of the cordless kits. The kits include a charger and 2 batteries. The kits sometimes come with additional accessories as well. (Cordless ones have the cost of 2 batteries taken away)</t>
        </r>
      </text>
    </comment>
    <comment ref="H31" authorId="0" shapeId="0">
      <text>
        <r>
          <rPr>
            <b/>
            <sz val="9"/>
            <color indexed="81"/>
            <rFont val="Tahoma"/>
            <family val="2"/>
          </rPr>
          <t>Brandon Noel:</t>
        </r>
        <r>
          <rPr>
            <sz val="9"/>
            <color indexed="81"/>
            <rFont val="Tahoma"/>
            <family val="2"/>
          </rPr>
          <t xml:space="preserve">
Annual battery cost = (battery cost/ battery lifetime) * number of cordless tools</t>
        </r>
      </text>
    </comment>
    <comment ref="A32" authorId="0" shapeId="0">
      <text>
        <r>
          <rPr>
            <b/>
            <sz val="9"/>
            <color indexed="81"/>
            <rFont val="Tahoma"/>
            <family val="2"/>
          </rPr>
          <t>Brandon Noel:</t>
        </r>
        <r>
          <rPr>
            <sz val="9"/>
            <color indexed="81"/>
            <rFont val="Tahoma"/>
            <family val="2"/>
          </rPr>
          <t xml:space="preserve">
This is our estimate on how much you can save if you switch the pneumatic tools out.</t>
        </r>
      </text>
    </comment>
    <comment ref="A33" authorId="0" shapeId="0">
      <text>
        <r>
          <rPr>
            <b/>
            <sz val="9"/>
            <color indexed="81"/>
            <rFont val="Tahoma"/>
            <family val="2"/>
          </rPr>
          <t>Brandon Noel:</t>
        </r>
        <r>
          <rPr>
            <sz val="9"/>
            <color indexed="81"/>
            <rFont val="Tahoma"/>
            <family val="2"/>
          </rPr>
          <t xml:space="preserve">
The formula used for corded is simply 
corded payback = (initial cost/total annual savings)
The cordless tool kits come with 2 batteries usually and therefore the cost estimate would include 2 batteries with the initial purchase as well as annual battery costs on top of that. This makes the cordless tools look much more expensive then they really are so we have to adjust for that. The cordless kits come with a charger and usually 2 batteries. The chargers and the batteries roughly cost the same. We take the cost of the kit minus the cost of the bare tool to figure out the increase in cost from the bare tool to the kit. We take that number and split it into 3 parts. 2 of the parts are for the batteries and 1 is for the charger. Thus, we can subtract out the cost of the batteries for the initial cost of the kit. The annual battery cost, which is used in calculating the total annual savings, is used instead of the batteries in the kit.
cordless payback = (initial kit cost - (initial kit cost - bare tool cost)*(2/3))/total annual savings</t>
        </r>
      </text>
    </comment>
  </commentList>
</comments>
</file>

<file path=xl/comments6.xml><?xml version="1.0" encoding="utf-8"?>
<comments xmlns="http://schemas.openxmlformats.org/spreadsheetml/2006/main">
  <authors>
    <author>Brandon Noel</author>
    <author>Jon C Vanyo</author>
  </authors>
  <commentList>
    <comment ref="K1" authorId="0" shapeId="0">
      <text>
        <r>
          <rPr>
            <b/>
            <sz val="9"/>
            <color indexed="81"/>
            <rFont val="Tahoma"/>
            <family val="2"/>
          </rPr>
          <t>Brandon Noel:</t>
        </r>
        <r>
          <rPr>
            <sz val="9"/>
            <color indexed="81"/>
            <rFont val="Tahoma"/>
            <family val="2"/>
          </rPr>
          <t xml:space="preserve">
Grainger doesn't have duty cycle ratings for electric tools. Strange</t>
        </r>
      </text>
    </comment>
    <comment ref="L1" authorId="0" shapeId="0">
      <text>
        <r>
          <rPr>
            <b/>
            <sz val="9"/>
            <color indexed="81"/>
            <rFont val="Tahoma"/>
            <family val="2"/>
          </rPr>
          <t>Brandon Noel:</t>
        </r>
        <r>
          <rPr>
            <sz val="9"/>
            <color indexed="81"/>
            <rFont val="Tahoma"/>
            <family val="2"/>
          </rPr>
          <t xml:space="preserve">
Battery included.</t>
        </r>
      </text>
    </comment>
    <comment ref="M1" authorId="0" shapeId="0">
      <text>
        <r>
          <rPr>
            <b/>
            <sz val="9"/>
            <color indexed="81"/>
            <rFont val="Tahoma"/>
            <family val="2"/>
          </rPr>
          <t>Brandon Noel:</t>
        </r>
        <r>
          <rPr>
            <sz val="9"/>
            <color indexed="81"/>
            <rFont val="Tahoma"/>
            <family val="2"/>
          </rPr>
          <t xml:space="preserve">
Just the tool and sometimes a case or other stuff but no batteries.</t>
        </r>
      </text>
    </comment>
    <comment ref="A4" authorId="1" shapeId="0">
      <text>
        <r>
          <rPr>
            <b/>
            <sz val="9"/>
            <color indexed="81"/>
            <rFont val="Tahoma"/>
            <family val="2"/>
          </rPr>
          <t>Jon C Vanyo:</t>
        </r>
        <r>
          <rPr>
            <sz val="9"/>
            <color indexed="81"/>
            <rFont val="Tahoma"/>
            <family val="2"/>
          </rPr>
          <t xml:space="preserve">
Removed from tool due to inadequate information
</t>
        </r>
      </text>
    </comment>
    <comment ref="L5" authorId="0" shapeId="0">
      <text>
        <r>
          <rPr>
            <b/>
            <sz val="9"/>
            <color indexed="81"/>
            <rFont val="Tahoma"/>
            <family val="2"/>
          </rPr>
          <t>Brandon Noel:</t>
        </r>
        <r>
          <rPr>
            <sz val="9"/>
            <color indexed="81"/>
            <rFont val="Tahoma"/>
            <family val="2"/>
          </rPr>
          <t xml:space="preserve">
Some of these came with 1 while many came with 2 batteries and some had 3.</t>
        </r>
      </text>
    </comment>
    <comment ref="M5" authorId="0" shapeId="0">
      <text>
        <r>
          <rPr>
            <b/>
            <sz val="9"/>
            <color indexed="81"/>
            <rFont val="Tahoma"/>
            <family val="2"/>
          </rPr>
          <t>Brandon Noel:</t>
        </r>
        <r>
          <rPr>
            <sz val="9"/>
            <color indexed="81"/>
            <rFont val="Tahoma"/>
            <family val="2"/>
          </rPr>
          <t xml:space="preserve">
Some had really high troque ratings, which cost much more than other ones.</t>
        </r>
      </text>
    </comment>
    <comment ref="N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S5" authorId="0" shapeId="0">
      <text>
        <r>
          <rPr>
            <b/>
            <sz val="9"/>
            <color indexed="81"/>
            <rFont val="Tahoma"/>
            <family val="2"/>
          </rPr>
          <t>Brandon Noel:</t>
        </r>
        <r>
          <rPr>
            <sz val="9"/>
            <color indexed="81"/>
            <rFont val="Tahoma"/>
            <family val="2"/>
          </rPr>
          <t xml:space="preserve">
Maximum torque</t>
        </r>
      </text>
    </comment>
    <comment ref="AW5" authorId="0" shapeId="0">
      <text>
        <r>
          <rPr>
            <b/>
            <sz val="9"/>
            <color indexed="81"/>
            <rFont val="Tahoma"/>
            <family val="2"/>
          </rPr>
          <t>Brandon Noel:</t>
        </r>
        <r>
          <rPr>
            <sz val="9"/>
            <color indexed="81"/>
            <rFont val="Tahoma"/>
            <family val="2"/>
          </rPr>
          <t xml:space="preserve">
Upper end of torque range</t>
        </r>
      </text>
    </comment>
    <comment ref="A6" authorId="0" shapeId="0">
      <text>
        <r>
          <rPr>
            <b/>
            <sz val="9"/>
            <color indexed="81"/>
            <rFont val="Tahoma"/>
            <family val="2"/>
          </rPr>
          <t>Brandon Noel:</t>
        </r>
        <r>
          <rPr>
            <sz val="9"/>
            <color indexed="81"/>
            <rFont val="Tahoma"/>
            <family val="2"/>
          </rPr>
          <t xml:space="preserve">
Max torque for electric ones is average of about 410 lb-ft. The average max torque for pneumatics is about 1200. The average for cordless is about 750.</t>
        </r>
      </text>
    </comment>
    <comment ref="L6" authorId="0" shapeId="0">
      <text>
        <r>
          <rPr>
            <b/>
            <sz val="9"/>
            <color indexed="81"/>
            <rFont val="Tahoma"/>
            <family val="2"/>
          </rPr>
          <t>Brandon Noel:</t>
        </r>
        <r>
          <rPr>
            <sz val="9"/>
            <color indexed="81"/>
            <rFont val="Tahoma"/>
            <family val="2"/>
          </rPr>
          <t xml:space="preserve">
Some of the more expensive ones come with 3 batteries, some had 2 and some had 1.</t>
        </r>
      </text>
    </comment>
    <comment ref="N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E7" authorId="0" shapeId="0">
      <text>
        <r>
          <rPr>
            <b/>
            <sz val="9"/>
            <color indexed="81"/>
            <rFont val="Tahoma"/>
            <family val="2"/>
          </rPr>
          <t>Brandon Noel:</t>
        </r>
        <r>
          <rPr>
            <sz val="9"/>
            <color indexed="81"/>
            <rFont val="Tahoma"/>
            <family val="2"/>
          </rPr>
          <t xml:space="preserve">
I removed all of the Ingersoll Rand tools from the calculation because their numbers are wonky.</t>
        </r>
      </text>
    </comment>
    <comment ref="I7" authorId="0" shapeId="0">
      <text>
        <r>
          <rPr>
            <b/>
            <sz val="9"/>
            <color indexed="81"/>
            <rFont val="Tahoma"/>
            <family val="2"/>
          </rPr>
          <t>Brandon Noel:</t>
        </r>
        <r>
          <rPr>
            <sz val="9"/>
            <color indexed="81"/>
            <rFont val="Tahoma"/>
            <family val="2"/>
          </rPr>
          <t xml:space="preserve">
Average for General Duty from Grainger.com 7/21/2016</t>
        </r>
      </text>
    </comment>
    <comment ref="J7" authorId="0" shapeId="0">
      <text>
        <r>
          <rPr>
            <b/>
            <sz val="9"/>
            <color indexed="81"/>
            <rFont val="Tahoma"/>
            <family val="2"/>
          </rPr>
          <t>Brandon Noel:</t>
        </r>
        <r>
          <rPr>
            <sz val="9"/>
            <color indexed="81"/>
            <rFont val="Tahoma"/>
            <family val="2"/>
          </rPr>
          <t xml:space="preserve">
Average Industrial Duty from Grainger 7/21/2016</t>
        </r>
      </text>
    </comment>
    <comment ref="L7" authorId="0" shapeId="0">
      <text>
        <r>
          <rPr>
            <b/>
            <sz val="9"/>
            <color indexed="81"/>
            <rFont val="Tahoma"/>
            <family val="2"/>
          </rPr>
          <t>Brandon Noel:</t>
        </r>
        <r>
          <rPr>
            <sz val="9"/>
            <color indexed="81"/>
            <rFont val="Tahoma"/>
            <family val="2"/>
          </rPr>
          <t xml:space="preserve">
All of these had at least 2 batteries.</t>
        </r>
      </text>
    </comment>
    <comment ref="N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L8" authorId="0" shapeId="0">
      <text>
        <r>
          <rPr>
            <b/>
            <sz val="9"/>
            <color indexed="81"/>
            <rFont val="Tahoma"/>
            <family val="2"/>
          </rPr>
          <t>Brandon Noel:</t>
        </r>
        <r>
          <rPr>
            <sz val="9"/>
            <color indexed="81"/>
            <rFont val="Tahoma"/>
            <family val="2"/>
          </rPr>
          <t xml:space="preserve">
Most of them came with 2 batteries although some with 3.</t>
        </r>
      </text>
    </comment>
    <comment ref="M8" authorId="0" shapeId="0">
      <text>
        <r>
          <rPr>
            <b/>
            <sz val="9"/>
            <color indexed="81"/>
            <rFont val="Tahoma"/>
            <family val="2"/>
          </rPr>
          <t>Brandon Noel:</t>
        </r>
        <r>
          <rPr>
            <sz val="9"/>
            <color indexed="81"/>
            <rFont val="Tahoma"/>
            <family val="2"/>
          </rPr>
          <t xml:space="preserve">
Most were just the tool but some came with handles and carrying cases. No batteries though.</t>
        </r>
      </text>
    </comment>
    <comment ref="N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L9" authorId="0" shapeId="0">
      <text>
        <r>
          <rPr>
            <b/>
            <sz val="9"/>
            <color indexed="81"/>
            <rFont val="Tahoma"/>
            <family val="2"/>
          </rPr>
          <t>Brandon Noel:</t>
        </r>
        <r>
          <rPr>
            <sz val="9"/>
            <color indexed="81"/>
            <rFont val="Tahoma"/>
            <family val="2"/>
          </rPr>
          <t xml:space="preserve">
All of these includes 2 batteries and a charger and sometimes other accessories.
Single battery ones: 276,275,307,183,266,192,347,</t>
        </r>
      </text>
    </comment>
    <comment ref="N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E10" authorId="0" shapeId="0">
      <text>
        <r>
          <rPr>
            <b/>
            <sz val="9"/>
            <color indexed="81"/>
            <rFont val="Tahoma"/>
            <family val="2"/>
          </rPr>
          <t>Brandon Noel:</t>
        </r>
        <r>
          <rPr>
            <sz val="9"/>
            <color indexed="81"/>
            <rFont val="Tahoma"/>
            <family val="2"/>
          </rPr>
          <t xml:space="preserve">
It is hard to find any 1/2'' Right Angle Drills so as long as this is close to the pistol grip CFM that is okay.</t>
        </r>
      </text>
    </comment>
    <comment ref="I10" authorId="0" shapeId="0">
      <text>
        <r>
          <rPr>
            <b/>
            <sz val="9"/>
            <color indexed="81"/>
            <rFont val="Tahoma"/>
            <family val="2"/>
          </rPr>
          <t>Brandon Noel:</t>
        </r>
        <r>
          <rPr>
            <sz val="9"/>
            <color indexed="81"/>
            <rFont val="Tahoma"/>
            <family val="2"/>
          </rPr>
          <t xml:space="preserve">
There were none of Grainger as of 7/21/2016. Estimated it by using the ratio from other tools size and multiplying that by the 3/8'' cost.
</t>
        </r>
      </text>
    </comment>
    <comment ref="L10" authorId="0" shapeId="0">
      <text>
        <r>
          <rPr>
            <b/>
            <sz val="9"/>
            <color indexed="81"/>
            <rFont val="Tahoma"/>
            <family val="2"/>
          </rPr>
          <t>Brandon Noel:</t>
        </r>
        <r>
          <rPr>
            <sz val="9"/>
            <color indexed="81"/>
            <rFont val="Tahoma"/>
            <family val="2"/>
          </rPr>
          <t xml:space="preserve">
All of these include 2 batteries a charger and sometimes other accessories.
Single battery: ,519,320,280,399
Triple battery:802,773,975,870</t>
        </r>
      </text>
    </comment>
    <comment ref="N1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11" authorId="0" shapeId="0">
      <text>
        <r>
          <rPr>
            <b/>
            <sz val="9"/>
            <color indexed="81"/>
            <rFont val="Tahoma"/>
            <family val="2"/>
          </rPr>
          <t>Brandon Noel:</t>
        </r>
        <r>
          <rPr>
            <sz val="9"/>
            <color indexed="81"/>
            <rFont val="Tahoma"/>
            <family val="2"/>
          </rPr>
          <t xml:space="preserve">
Max wheel diameter is 4.5</t>
        </r>
      </text>
    </comment>
    <comment ref="I11" authorId="0" shapeId="0">
      <text>
        <r>
          <rPr>
            <b/>
            <sz val="9"/>
            <color indexed="81"/>
            <rFont val="Tahoma"/>
            <family val="2"/>
          </rPr>
          <t>Brandon Noel:</t>
        </r>
        <r>
          <rPr>
            <sz val="9"/>
            <color indexed="81"/>
            <rFont val="Tahoma"/>
            <family val="2"/>
          </rPr>
          <t xml:space="preserve">
Taking out a tool that is $988.5 because that is certainly an outlier.</t>
        </r>
      </text>
    </comment>
    <comment ref="J11" authorId="0" shapeId="0">
      <text>
        <r>
          <rPr>
            <b/>
            <sz val="9"/>
            <color indexed="81"/>
            <rFont val="Tahoma"/>
            <family val="2"/>
          </rPr>
          <t>Brandon Noel:</t>
        </r>
        <r>
          <rPr>
            <sz val="9"/>
            <color indexed="81"/>
            <rFont val="Tahoma"/>
            <family val="2"/>
          </rPr>
          <t xml:space="preserve">
This includes heavy and industrial duty angle grinders from Grainger on 7/21/2016 that are 4'' or 4.5''</t>
        </r>
      </text>
    </comment>
    <comment ref="K11" authorId="0" shapeId="0">
      <text>
        <r>
          <rPr>
            <b/>
            <sz val="9"/>
            <color indexed="81"/>
            <rFont val="Tahoma"/>
            <family val="2"/>
          </rPr>
          <t>Brandon Noel:</t>
        </r>
        <r>
          <rPr>
            <sz val="9"/>
            <color indexed="81"/>
            <rFont val="Tahoma"/>
            <family val="2"/>
          </rPr>
          <t xml:space="preserve">
This includes a lot of the tools that are on sale. Judging by the amount of tools on sale, they probably have a lot on sale all the time. This is also solely for angle grinders.7/21/2016</t>
        </r>
      </text>
    </comment>
    <comment ref="L11" authorId="0" shapeId="0">
      <text>
        <r>
          <rPr>
            <b/>
            <sz val="9"/>
            <color indexed="81"/>
            <rFont val="Tahoma"/>
            <family val="2"/>
          </rPr>
          <t>Brandon Noel:</t>
        </r>
        <r>
          <rPr>
            <sz val="9"/>
            <color indexed="81"/>
            <rFont val="Tahoma"/>
            <family val="2"/>
          </rPr>
          <t xml:space="preserve">
This is for kits which includes the tool, batteries, grinder guards, sometimes carrying cases and other accessories. They all come with 2 batteries.
Single batteries:340,360</t>
        </r>
      </text>
    </comment>
    <comment ref="N11"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1"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1"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1"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1"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I12" authorId="0" shapeId="0">
      <text>
        <r>
          <rPr>
            <b/>
            <sz val="9"/>
            <color indexed="81"/>
            <rFont val="Tahoma"/>
            <family val="2"/>
          </rPr>
          <t>Brandon Noel:</t>
        </r>
        <r>
          <rPr>
            <sz val="9"/>
            <color indexed="81"/>
            <rFont val="Tahoma"/>
            <family val="2"/>
          </rPr>
          <t xml:space="preserve">
Taking out a tool that costs 987.5 as that is certainly an outlier.</t>
        </r>
      </text>
    </comment>
    <comment ref="L12" authorId="0" shapeId="0">
      <text>
        <r>
          <rPr>
            <b/>
            <sz val="9"/>
            <color indexed="81"/>
            <rFont val="Tahoma"/>
            <family val="2"/>
          </rPr>
          <t>Brandon Noel:</t>
        </r>
        <r>
          <rPr>
            <sz val="9"/>
            <color indexed="81"/>
            <rFont val="Tahoma"/>
            <family val="2"/>
          </rPr>
          <t xml:space="preserve">
Grainger max wheel diameter of 5''. This includes the whole kit. Everyone comes with 2 batteries.
Triple batteries:854,753,753</t>
        </r>
      </text>
    </comment>
    <comment ref="N12"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2"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2"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2"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2"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D13" authorId="0" shapeId="0">
      <text>
        <r>
          <rPr>
            <b/>
            <sz val="9"/>
            <color indexed="81"/>
            <rFont val="Tahoma"/>
            <family val="2"/>
          </rPr>
          <t>Brandon Noel:</t>
        </r>
        <r>
          <rPr>
            <sz val="9"/>
            <color indexed="81"/>
            <rFont val="Tahoma"/>
            <family val="2"/>
          </rPr>
          <t xml:space="preserve">
Grainger 7/25/2016.</t>
        </r>
      </text>
    </comment>
    <comment ref="L13" authorId="0" shapeId="0">
      <text>
        <r>
          <rPr>
            <b/>
            <sz val="9"/>
            <color indexed="81"/>
            <rFont val="Tahoma"/>
            <family val="2"/>
          </rPr>
          <t>Brandon Noel:</t>
        </r>
        <r>
          <rPr>
            <sz val="9"/>
            <color indexed="81"/>
            <rFont val="Tahoma"/>
            <family val="2"/>
          </rPr>
          <t xml:space="preserve">
Grainger didn't have any cordless with a max wheel diameter of 7'' or 9''. I also couldn't find any on google.</t>
        </r>
      </text>
    </comment>
    <comment ref="M13" authorId="0" shapeId="0">
      <text>
        <r>
          <rPr>
            <b/>
            <sz val="9"/>
            <color indexed="81"/>
            <rFont val="Tahoma"/>
            <family val="2"/>
          </rPr>
          <t>Brandon Noel:</t>
        </r>
        <r>
          <rPr>
            <sz val="9"/>
            <color indexed="81"/>
            <rFont val="Tahoma"/>
            <family val="2"/>
          </rPr>
          <t xml:space="preserve">
There are no such tools on grainger.</t>
        </r>
      </text>
    </comment>
    <comment ref="N13"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3"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3"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3"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3"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14" authorId="0" shapeId="0">
      <text>
        <r>
          <rPr>
            <b/>
            <sz val="9"/>
            <color indexed="81"/>
            <rFont val="Tahoma"/>
            <family val="2"/>
          </rPr>
          <t>Brandon Noel:</t>
        </r>
        <r>
          <rPr>
            <sz val="9"/>
            <color indexed="81"/>
            <rFont val="Tahoma"/>
            <family val="2"/>
          </rPr>
          <t xml:space="preserve">
Straight not right angle</t>
        </r>
      </text>
    </comment>
    <comment ref="L14" authorId="0" shapeId="0">
      <text>
        <r>
          <rPr>
            <b/>
            <sz val="9"/>
            <color indexed="81"/>
            <rFont val="Tahoma"/>
            <family val="2"/>
          </rPr>
          <t>Brandon Noel:</t>
        </r>
        <r>
          <rPr>
            <sz val="9"/>
            <color indexed="81"/>
            <rFont val="Tahoma"/>
            <family val="2"/>
          </rPr>
          <t xml:space="preserve">
All of these come with 2 batteries and chargers. 8/16/2016</t>
        </r>
      </text>
    </comment>
    <comment ref="N14"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4"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4"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4"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4"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I15" authorId="0" shapeId="0">
      <text>
        <r>
          <rPr>
            <b/>
            <sz val="9"/>
            <color indexed="81"/>
            <rFont val="Tahoma"/>
            <family val="2"/>
          </rPr>
          <t>Brandon Noel:</t>
        </r>
        <r>
          <rPr>
            <sz val="9"/>
            <color indexed="81"/>
            <rFont val="Tahoma"/>
            <family val="2"/>
          </rPr>
          <t xml:space="preserve">
Grainger as of 7/25/2016. The price seems a little higher than the google prices.</t>
        </r>
      </text>
    </comment>
    <comment ref="K15" authorId="0" shapeId="0">
      <text>
        <r>
          <rPr>
            <b/>
            <sz val="9"/>
            <color indexed="81"/>
            <rFont val="Tahoma"/>
            <family val="2"/>
          </rPr>
          <t>Brandon Noel:</t>
        </r>
        <r>
          <rPr>
            <sz val="9"/>
            <color indexed="81"/>
            <rFont val="Tahoma"/>
            <family val="2"/>
          </rPr>
          <t xml:space="preserve">
Grainger as of 7/25/2016.</t>
        </r>
      </text>
    </comment>
    <comment ref="L15" authorId="0" shapeId="0">
      <text>
        <r>
          <rPr>
            <b/>
            <sz val="9"/>
            <color indexed="81"/>
            <rFont val="Tahoma"/>
            <family val="2"/>
          </rPr>
          <t>Brandon Noel:</t>
        </r>
        <r>
          <rPr>
            <sz val="9"/>
            <color indexed="81"/>
            <rFont val="Tahoma"/>
            <family val="2"/>
          </rPr>
          <t xml:space="preserve">
Grainger as of 7/25/2016.</t>
        </r>
      </text>
    </comment>
    <comment ref="N1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5"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16" authorId="0" shapeId="0">
      <text>
        <r>
          <rPr>
            <b/>
            <sz val="9"/>
            <color indexed="81"/>
            <rFont val="Tahoma"/>
            <family val="2"/>
          </rPr>
          <t>Brandon Noel:</t>
        </r>
        <r>
          <rPr>
            <sz val="9"/>
            <color indexed="81"/>
            <rFont val="Tahoma"/>
            <family val="2"/>
          </rPr>
          <t xml:space="preserve">
1 1/8'' - 1 1/4''</t>
        </r>
      </text>
    </comment>
    <comment ref="E16" authorId="0" shapeId="0">
      <text>
        <r>
          <rPr>
            <b/>
            <sz val="9"/>
            <color indexed="81"/>
            <rFont val="Tahoma"/>
            <family val="2"/>
          </rPr>
          <t>Brandon Noel:</t>
        </r>
        <r>
          <rPr>
            <sz val="9"/>
            <color indexed="81"/>
            <rFont val="Tahoma"/>
            <family val="2"/>
          </rPr>
          <t xml:space="preserve">
Going off of UNITECS 1 1/8'' pneumatic reciprocating saws.</t>
        </r>
      </text>
    </comment>
    <comment ref="I16" authorId="0" shapeId="0">
      <text>
        <r>
          <rPr>
            <b/>
            <sz val="9"/>
            <color indexed="81"/>
            <rFont val="Tahoma"/>
            <family val="2"/>
          </rPr>
          <t>Brandon Noel:</t>
        </r>
        <r>
          <rPr>
            <sz val="9"/>
            <color indexed="81"/>
            <rFont val="Tahoma"/>
            <family val="2"/>
          </rPr>
          <t xml:space="preserve">
The only ones I could find cost $1800 which is ridiculous. I'm not sure what number should go here.
JV: $1,225
https://www.ohiopowertool.com/p-2968-cs-unitec-13-hp-cat-pneumatic-reciprocating-saw-5-1217-0020.aspx?gclid=CjwKCAiAsejRBRB3EiwAZft7sJNZFCt-tSDe8WDxRS4JKjJZMy2SCLIVpReVy8rhpIlOVdiBWJDMYhoCQUAQAvD_BwE
</t>
        </r>
      </text>
    </comment>
    <comment ref="L16" authorId="0" shapeId="0">
      <text>
        <r>
          <rPr>
            <b/>
            <sz val="9"/>
            <color indexed="81"/>
            <rFont val="Tahoma"/>
            <family val="2"/>
          </rPr>
          <t>Brandon Noel:</t>
        </r>
        <r>
          <rPr>
            <sz val="9"/>
            <color indexed="81"/>
            <rFont val="Tahoma"/>
            <family val="2"/>
          </rPr>
          <t xml:space="preserve">
1 1/8'' stroke length all come with 2 batteries. 8/16/2016
Triple batteries:744
Single battery:292,384,563,299,333,491</t>
        </r>
      </text>
    </comment>
    <comment ref="N1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6"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17" authorId="0" shapeId="0">
      <text>
        <r>
          <rPr>
            <b/>
            <sz val="9"/>
            <color indexed="81"/>
            <rFont val="Tahoma"/>
            <family val="2"/>
          </rPr>
          <t>Brandon Noel:</t>
        </r>
        <r>
          <rPr>
            <sz val="9"/>
            <color indexed="81"/>
            <rFont val="Tahoma"/>
            <family val="2"/>
          </rPr>
          <t xml:space="preserve">
Steel capacity is 18 gauge.</t>
        </r>
      </text>
    </comment>
    <comment ref="I17" authorId="0" shapeId="0">
      <text>
        <r>
          <rPr>
            <b/>
            <sz val="9"/>
            <color indexed="81"/>
            <rFont val="Tahoma"/>
            <family val="2"/>
          </rPr>
          <t>Brandon Noel:</t>
        </r>
        <r>
          <rPr>
            <sz val="9"/>
            <color indexed="81"/>
            <rFont val="Tahoma"/>
            <family val="2"/>
          </rPr>
          <t xml:space="preserve">
Grainger as of 7/25/2016.</t>
        </r>
      </text>
    </comment>
    <comment ref="L17" authorId="0" shapeId="0">
      <text>
        <r>
          <rPr>
            <b/>
            <sz val="9"/>
            <color indexed="81"/>
            <rFont val="Tahoma"/>
            <family val="2"/>
          </rPr>
          <t>Brandon Noel:</t>
        </r>
        <r>
          <rPr>
            <sz val="9"/>
            <color indexed="81"/>
            <rFont val="Tahoma"/>
            <family val="2"/>
          </rPr>
          <t xml:space="preserve">
All of these come with 2 batteries. Some of them had extended protection plans. In fact all but the 443 one.</t>
        </r>
      </text>
    </comment>
    <comment ref="N1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7"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18" authorId="0" shapeId="0">
      <text>
        <r>
          <rPr>
            <b/>
            <sz val="9"/>
            <color indexed="81"/>
            <rFont val="Tahoma"/>
            <family val="2"/>
          </rPr>
          <t>Brandon Noel:</t>
        </r>
        <r>
          <rPr>
            <sz val="9"/>
            <color indexed="81"/>
            <rFont val="Tahoma"/>
            <family val="2"/>
          </rPr>
          <t xml:space="preserve">
Brad/Finish/Framing </t>
        </r>
      </text>
    </comment>
    <comment ref="K18" authorId="1" shapeId="0">
      <text>
        <r>
          <rPr>
            <b/>
            <sz val="9"/>
            <color indexed="81"/>
            <rFont val="Tahoma"/>
            <family val="2"/>
          </rPr>
          <t>Jon C Vanyo:</t>
        </r>
        <r>
          <rPr>
            <sz val="9"/>
            <color indexed="81"/>
            <rFont val="Tahoma"/>
            <family val="2"/>
          </rPr>
          <t xml:space="preserve">
https://www.grainger.com/product/WESTWARD-9-3-4-Professional-Duty-Nail-10D656?breadcrumbCatId=1010</t>
        </r>
      </text>
    </comment>
    <comment ref="N1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8"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N1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1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1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1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19"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20" authorId="0" shapeId="0">
      <text>
        <r>
          <rPr>
            <b/>
            <sz val="9"/>
            <color indexed="81"/>
            <rFont val="Tahoma"/>
            <family val="2"/>
          </rPr>
          <t>Brandon Noel:</t>
        </r>
        <r>
          <rPr>
            <sz val="9"/>
            <color indexed="81"/>
            <rFont val="Tahoma"/>
            <family val="2"/>
          </rPr>
          <t xml:space="preserve">
About 30% of pneumatic ratchets listed on grainger have a higher max torque than the highest cordless. </t>
        </r>
      </text>
    </comment>
    <comment ref="H20" authorId="0" shapeId="0">
      <text>
        <r>
          <rPr>
            <b/>
            <sz val="9"/>
            <color indexed="81"/>
            <rFont val="Tahoma"/>
            <family val="2"/>
          </rPr>
          <t>Brandon Noel:</t>
        </r>
        <r>
          <rPr>
            <sz val="9"/>
            <color indexed="81"/>
            <rFont val="Tahoma"/>
            <family val="2"/>
          </rPr>
          <t xml:space="preserve">
I couldn't find literally any corded ratchets online. I just used the average CFM to amps ratio of other tools to estimate the amps for the ratchet.</t>
        </r>
      </text>
    </comment>
    <comment ref="K20" authorId="0" shapeId="0">
      <text>
        <r>
          <rPr>
            <b/>
            <sz val="9"/>
            <color indexed="81"/>
            <rFont val="Tahoma"/>
            <family val="2"/>
          </rPr>
          <t>Brandon Noel:</t>
        </r>
        <r>
          <rPr>
            <sz val="9"/>
            <color indexed="81"/>
            <rFont val="Tahoma"/>
            <family val="2"/>
          </rPr>
          <t xml:space="preserve">
None on Grainger's website.
JV- closest thing I see
https://www.google.com/shopping/product/17042563118562783074?q=3/8+inch+corded+electric+ratchet&amp;client=firefox-b-1&amp;biw=826&amp;bih=903&amp;prds=paur:ClkAsKraX2PIY1IrkAUF17yatHd4lNvgDKqyvYPQC6D76FvNasKBZJ2DwbjERlMeiTcra_MA6m8Ni2NKzKRP5Ld4W2ekkb9DniKuCxBuXSuQzcMEWaEjlBPM6xIZAFPVH71SO-0c1EMqgsm4NRtZq_0e5jzZCw&amp;sa=X&amp;ved=0ahUKEwj6uPqqyZnYAhUq7IMKHf3mDV4Q8wII4gQwBA</t>
        </r>
      </text>
    </comment>
    <comment ref="L20" authorId="0" shapeId="0">
      <text>
        <r>
          <rPr>
            <b/>
            <sz val="9"/>
            <color indexed="81"/>
            <rFont val="Tahoma"/>
            <family val="2"/>
          </rPr>
          <t>Brandon Noel:</t>
        </r>
        <r>
          <rPr>
            <sz val="9"/>
            <color indexed="81"/>
            <rFont val="Tahoma"/>
            <family val="2"/>
          </rPr>
          <t xml:space="preserve">
All of these come with 2 batteries.
Single batteries: 334,326,447,218</t>
        </r>
      </text>
    </comment>
    <comment ref="N2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O2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P2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Q2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R20"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A23" authorId="0" shapeId="0">
      <text>
        <r>
          <rPr>
            <b/>
            <sz val="9"/>
            <color indexed="81"/>
            <rFont val="Tahoma"/>
            <family val="2"/>
          </rPr>
          <t>Brandon Noel:</t>
        </r>
        <r>
          <rPr>
            <sz val="9"/>
            <color indexed="81"/>
            <rFont val="Tahoma"/>
            <family val="2"/>
          </rPr>
          <t xml:space="preserve">
3/8'' nut runner</t>
        </r>
      </text>
    </comment>
    <comment ref="Q24" authorId="0" shapeId="0">
      <text>
        <r>
          <rPr>
            <b/>
            <sz val="9"/>
            <color indexed="81"/>
            <rFont val="Tahoma"/>
            <family val="2"/>
          </rPr>
          <t>Brandon Noel:</t>
        </r>
        <r>
          <rPr>
            <sz val="9"/>
            <color indexed="81"/>
            <rFont val="Tahoma"/>
            <family val="2"/>
          </rPr>
          <t xml:space="preserve">
Every cost from grainger is multiplied by this number to get a cost that you can typically find elsewhere online. The average ratio we got from looking at different tools and products was about 0.66. We will use 0.75 to keep the estimate conservative.</t>
        </r>
      </text>
    </comment>
    <comment ref="E30" authorId="0" shapeId="0">
      <text>
        <r>
          <rPr>
            <b/>
            <sz val="9"/>
            <color indexed="81"/>
            <rFont val="Tahoma"/>
            <family val="2"/>
          </rPr>
          <t>Brandon Noel:</t>
        </r>
        <r>
          <rPr>
            <sz val="9"/>
            <color indexed="81"/>
            <rFont val="Tahoma"/>
            <family val="2"/>
          </rPr>
          <t xml:space="preserve">
It was hard to find 2'' grinders online. I just estimated half the CFM of a 4'' grinder.</t>
        </r>
      </text>
    </comment>
    <comment ref="H31" authorId="0" shapeId="0">
      <text>
        <r>
          <rPr>
            <b/>
            <sz val="9"/>
            <color indexed="81"/>
            <rFont val="Tahoma"/>
            <family val="2"/>
          </rPr>
          <t>Brandon Noel:</t>
        </r>
        <r>
          <rPr>
            <sz val="9"/>
            <color indexed="81"/>
            <rFont val="Tahoma"/>
            <family val="2"/>
          </rPr>
          <t xml:space="preserve">
It is incredibly hard to find a 2'' electric grinder online. I just estimated it to use about half as much power as a 4 1/2 grinder.</t>
        </r>
      </text>
    </comment>
    <comment ref="H33" authorId="0" shapeId="0">
      <text>
        <r>
          <rPr>
            <b/>
            <sz val="9"/>
            <color indexed="81"/>
            <rFont val="Tahoma"/>
            <family val="2"/>
          </rPr>
          <t xml:space="preserve">Brandon Noel:
</t>
        </r>
        <r>
          <rPr>
            <sz val="9"/>
            <color indexed="81"/>
            <rFont val="Tahoma"/>
            <family val="2"/>
          </rPr>
          <t>the charger charges at 15 volts at 0.3 amps for 4-5 hours. In kWh one full charge is equal to 0.0225 kWh. At $0.1 per kWh it costs a fifth of a penny to charge for 18 minutes of continuous usage.</t>
        </r>
      </text>
    </comment>
    <comment ref="A34" authorId="0" shapeId="0">
      <text>
        <r>
          <rPr>
            <b/>
            <sz val="9"/>
            <color indexed="81"/>
            <rFont val="Tahoma"/>
            <family val="2"/>
          </rPr>
          <t>Brandon Noel:</t>
        </r>
        <r>
          <rPr>
            <sz val="9"/>
            <color indexed="81"/>
            <rFont val="Tahoma"/>
            <family val="2"/>
          </rPr>
          <t xml:space="preserve">
for stainless steel that is 1/20 of an inch thick</t>
        </r>
      </text>
    </comment>
    <comment ref="E36" authorId="0" shapeId="0">
      <text>
        <r>
          <rPr>
            <b/>
            <sz val="9"/>
            <color indexed="81"/>
            <rFont val="Tahoma"/>
            <family val="2"/>
          </rPr>
          <t>Brandon Noel:</t>
        </r>
        <r>
          <rPr>
            <sz val="9"/>
            <color indexed="81"/>
            <rFont val="Tahoma"/>
            <family val="2"/>
          </rPr>
          <t xml:space="preserve">
Grainger 7/25/2016.</t>
        </r>
      </text>
    </comment>
    <comment ref="L36" authorId="0" shapeId="0">
      <text>
        <r>
          <rPr>
            <b/>
            <sz val="9"/>
            <color indexed="81"/>
            <rFont val="Tahoma"/>
            <family val="2"/>
          </rPr>
          <t>Brandon Noel:</t>
        </r>
        <r>
          <rPr>
            <sz val="9"/>
            <color indexed="81"/>
            <rFont val="Tahoma"/>
            <family val="2"/>
          </rPr>
          <t xml:space="preserve">
Grainger max wheel diameter of 6''.</t>
        </r>
      </text>
    </comment>
  </commentList>
</comments>
</file>

<file path=xl/comments7.xml><?xml version="1.0" encoding="utf-8"?>
<comments xmlns="http://schemas.openxmlformats.org/spreadsheetml/2006/main">
  <authors>
    <author>Brandon Noel</author>
  </authors>
  <commentList>
    <comment ref="D4" authorId="0" shapeId="0">
      <text>
        <r>
          <rPr>
            <b/>
            <sz val="9"/>
            <color indexed="81"/>
            <rFont val="Tahoma"/>
            <family val="2"/>
          </rPr>
          <t>Brandon Noel:</t>
        </r>
        <r>
          <rPr>
            <sz val="9"/>
            <color indexed="81"/>
            <rFont val="Tahoma"/>
            <family val="2"/>
          </rPr>
          <t xml:space="preserve">
Max torque for electric ones is average of about 410 lb-ft. The average max torque for pneumatics is about 1200. The average for cordless is about 750.</t>
        </r>
      </text>
    </comment>
    <comment ref="D9" authorId="0" shapeId="0">
      <text>
        <r>
          <rPr>
            <b/>
            <sz val="9"/>
            <color indexed="81"/>
            <rFont val="Tahoma"/>
            <family val="2"/>
          </rPr>
          <t>Brandon Noel:</t>
        </r>
        <r>
          <rPr>
            <sz val="9"/>
            <color indexed="81"/>
            <rFont val="Tahoma"/>
            <family val="2"/>
          </rPr>
          <t xml:space="preserve">
Max wheel diameter is 4.5</t>
        </r>
      </text>
    </comment>
    <comment ref="D12" authorId="0" shapeId="0">
      <text>
        <r>
          <rPr>
            <b/>
            <sz val="9"/>
            <color indexed="81"/>
            <rFont val="Tahoma"/>
            <family val="2"/>
          </rPr>
          <t>Brandon Noel:</t>
        </r>
        <r>
          <rPr>
            <sz val="9"/>
            <color indexed="81"/>
            <rFont val="Tahoma"/>
            <family val="2"/>
          </rPr>
          <t xml:space="preserve">
Straight not right angle</t>
        </r>
      </text>
    </comment>
    <comment ref="D14" authorId="0" shapeId="0">
      <text>
        <r>
          <rPr>
            <b/>
            <sz val="9"/>
            <color indexed="81"/>
            <rFont val="Tahoma"/>
            <family val="2"/>
          </rPr>
          <t>Brandon Noel:</t>
        </r>
        <r>
          <rPr>
            <sz val="9"/>
            <color indexed="81"/>
            <rFont val="Tahoma"/>
            <family val="2"/>
          </rPr>
          <t xml:space="preserve">
1 1/8'' - 1 1/4''</t>
        </r>
      </text>
    </comment>
    <comment ref="D15" authorId="0" shapeId="0">
      <text>
        <r>
          <rPr>
            <b/>
            <sz val="9"/>
            <color indexed="81"/>
            <rFont val="Tahoma"/>
            <family val="2"/>
          </rPr>
          <t>Brandon Noel:</t>
        </r>
        <r>
          <rPr>
            <sz val="9"/>
            <color indexed="81"/>
            <rFont val="Tahoma"/>
            <family val="2"/>
          </rPr>
          <t xml:space="preserve">
Steel capacity is 18 gauge.</t>
        </r>
      </text>
    </comment>
    <comment ref="D18" authorId="0" shapeId="0">
      <text>
        <r>
          <rPr>
            <b/>
            <sz val="9"/>
            <color indexed="81"/>
            <rFont val="Tahoma"/>
            <family val="2"/>
          </rPr>
          <t>Brandon Noel:</t>
        </r>
        <r>
          <rPr>
            <sz val="9"/>
            <color indexed="81"/>
            <rFont val="Tahoma"/>
            <family val="2"/>
          </rPr>
          <t xml:space="preserve">
About 30% of pneumatic ratchets listed on grainger have a higher max torque than the highest cordless. </t>
        </r>
      </text>
    </comment>
    <comment ref="D25" authorId="0" shapeId="0">
      <text>
        <r>
          <rPr>
            <b/>
            <sz val="9"/>
            <color indexed="81"/>
            <rFont val="Tahoma"/>
            <family val="2"/>
          </rPr>
          <t>Brandon Noel:</t>
        </r>
        <r>
          <rPr>
            <sz val="9"/>
            <color indexed="81"/>
            <rFont val="Tahoma"/>
            <family val="2"/>
          </rPr>
          <t xml:space="preserve">
Max torque for electric ones is average of about 410 lb-ft. The average max torque for pneumatics is about 1200. The average for cordless is about 750.</t>
        </r>
      </text>
    </comment>
    <comment ref="D30" authorId="0" shapeId="0">
      <text>
        <r>
          <rPr>
            <b/>
            <sz val="9"/>
            <color indexed="81"/>
            <rFont val="Tahoma"/>
            <family val="2"/>
          </rPr>
          <t>Brandon Noel:</t>
        </r>
        <r>
          <rPr>
            <sz val="9"/>
            <color indexed="81"/>
            <rFont val="Tahoma"/>
            <family val="2"/>
          </rPr>
          <t xml:space="preserve">
Max wheel diameter is 4.5</t>
        </r>
      </text>
    </comment>
    <comment ref="D33" authorId="0" shapeId="0">
      <text>
        <r>
          <rPr>
            <b/>
            <sz val="9"/>
            <color indexed="81"/>
            <rFont val="Tahoma"/>
            <family val="2"/>
          </rPr>
          <t>Brandon Noel:</t>
        </r>
        <r>
          <rPr>
            <sz val="9"/>
            <color indexed="81"/>
            <rFont val="Tahoma"/>
            <family val="2"/>
          </rPr>
          <t xml:space="preserve">
Straight not right angle</t>
        </r>
      </text>
    </comment>
    <comment ref="D35" authorId="0" shapeId="0">
      <text>
        <r>
          <rPr>
            <b/>
            <sz val="9"/>
            <color indexed="81"/>
            <rFont val="Tahoma"/>
            <family val="2"/>
          </rPr>
          <t>Brandon Noel:</t>
        </r>
        <r>
          <rPr>
            <sz val="9"/>
            <color indexed="81"/>
            <rFont val="Tahoma"/>
            <family val="2"/>
          </rPr>
          <t xml:space="preserve">
1 1/8'' - 1 1/4''</t>
        </r>
      </text>
    </comment>
    <comment ref="D36" authorId="0" shapeId="0">
      <text>
        <r>
          <rPr>
            <b/>
            <sz val="9"/>
            <color indexed="81"/>
            <rFont val="Tahoma"/>
            <family val="2"/>
          </rPr>
          <t>Brandon Noel:</t>
        </r>
        <r>
          <rPr>
            <sz val="9"/>
            <color indexed="81"/>
            <rFont val="Tahoma"/>
            <family val="2"/>
          </rPr>
          <t xml:space="preserve">
Steel capacity is 18 gauge.</t>
        </r>
      </text>
    </comment>
    <comment ref="D39" authorId="0" shapeId="0">
      <text>
        <r>
          <rPr>
            <b/>
            <sz val="9"/>
            <color indexed="81"/>
            <rFont val="Tahoma"/>
            <family val="2"/>
          </rPr>
          <t>Brandon Noel:</t>
        </r>
        <r>
          <rPr>
            <sz val="9"/>
            <color indexed="81"/>
            <rFont val="Tahoma"/>
            <family val="2"/>
          </rPr>
          <t xml:space="preserve">
About 30% of pneumatic ratchets listed on grainger have a higher max torque than the highest cordless. </t>
        </r>
      </text>
    </comment>
    <comment ref="D46" authorId="0" shapeId="0">
      <text>
        <r>
          <rPr>
            <b/>
            <sz val="9"/>
            <color indexed="81"/>
            <rFont val="Tahoma"/>
            <family val="2"/>
          </rPr>
          <t>Brandon Noel:</t>
        </r>
        <r>
          <rPr>
            <sz val="9"/>
            <color indexed="81"/>
            <rFont val="Tahoma"/>
            <family val="2"/>
          </rPr>
          <t xml:space="preserve">
Max torque for electric ones is average of about 410 lb-ft. The average max torque for pneumatics is about 1200. The average for cordless is about 750.</t>
        </r>
      </text>
    </comment>
    <comment ref="D51" authorId="0" shapeId="0">
      <text>
        <r>
          <rPr>
            <b/>
            <sz val="9"/>
            <color indexed="81"/>
            <rFont val="Tahoma"/>
            <family val="2"/>
          </rPr>
          <t>Brandon Noel:</t>
        </r>
        <r>
          <rPr>
            <sz val="9"/>
            <color indexed="81"/>
            <rFont val="Tahoma"/>
            <family val="2"/>
          </rPr>
          <t xml:space="preserve">
Max wheel diameter is 4.5</t>
        </r>
      </text>
    </comment>
    <comment ref="D54" authorId="0" shapeId="0">
      <text>
        <r>
          <rPr>
            <b/>
            <sz val="9"/>
            <color indexed="81"/>
            <rFont val="Tahoma"/>
            <family val="2"/>
          </rPr>
          <t>Brandon Noel:</t>
        </r>
        <r>
          <rPr>
            <sz val="9"/>
            <color indexed="81"/>
            <rFont val="Tahoma"/>
            <family val="2"/>
          </rPr>
          <t xml:space="preserve">
Straight not right angle</t>
        </r>
      </text>
    </comment>
    <comment ref="D56" authorId="0" shapeId="0">
      <text>
        <r>
          <rPr>
            <b/>
            <sz val="9"/>
            <color indexed="81"/>
            <rFont val="Tahoma"/>
            <family val="2"/>
          </rPr>
          <t>Brandon Noel:</t>
        </r>
        <r>
          <rPr>
            <sz val="9"/>
            <color indexed="81"/>
            <rFont val="Tahoma"/>
            <family val="2"/>
          </rPr>
          <t xml:space="preserve">
1 1/8'' - 1 1/4''</t>
        </r>
      </text>
    </comment>
    <comment ref="D57" authorId="0" shapeId="0">
      <text>
        <r>
          <rPr>
            <b/>
            <sz val="9"/>
            <color indexed="81"/>
            <rFont val="Tahoma"/>
            <family val="2"/>
          </rPr>
          <t>Brandon Noel:</t>
        </r>
        <r>
          <rPr>
            <sz val="9"/>
            <color indexed="81"/>
            <rFont val="Tahoma"/>
            <family val="2"/>
          </rPr>
          <t xml:space="preserve">
Steel capacity is 18 gauge.</t>
        </r>
      </text>
    </comment>
    <comment ref="D60" authorId="0" shapeId="0">
      <text>
        <r>
          <rPr>
            <b/>
            <sz val="9"/>
            <color indexed="81"/>
            <rFont val="Tahoma"/>
            <family val="2"/>
          </rPr>
          <t>Brandon Noel:</t>
        </r>
        <r>
          <rPr>
            <sz val="9"/>
            <color indexed="81"/>
            <rFont val="Tahoma"/>
            <family val="2"/>
          </rPr>
          <t xml:space="preserve">
About 30% of pneumatic ratchets listed on grainger have a higher max torque than the highest cordless. </t>
        </r>
      </text>
    </comment>
  </commentList>
</comments>
</file>

<file path=xl/sharedStrings.xml><?xml version="1.0" encoding="utf-8"?>
<sst xmlns="http://schemas.openxmlformats.org/spreadsheetml/2006/main" count="2397" uniqueCount="545">
  <si>
    <t>Tool Type</t>
  </si>
  <si>
    <t>High Estimate</t>
  </si>
  <si>
    <t>Medium Estimate</t>
  </si>
  <si>
    <t>Low Estimate</t>
  </si>
  <si>
    <t>Cost per kWh ($)</t>
  </si>
  <si>
    <t>Leak Estimate</t>
  </si>
  <si>
    <t>Pulse Nutrunner</t>
  </si>
  <si>
    <t>3-4'' Cut Off Tool</t>
  </si>
  <si>
    <t>Nut Runner</t>
  </si>
  <si>
    <t>5'' Random Orbital Disc Sander</t>
  </si>
  <si>
    <t>Riveter</t>
  </si>
  <si>
    <t>Electric Nut Runner</t>
  </si>
  <si>
    <t>Pneumatic Nailer</t>
  </si>
  <si>
    <t>Cordless Nailer</t>
  </si>
  <si>
    <t>Electric Screwdriver</t>
  </si>
  <si>
    <t>2'' Pneumatic Grinder</t>
  </si>
  <si>
    <t>2'' Electric Grinder</t>
  </si>
  <si>
    <t>Canless Air</t>
  </si>
  <si>
    <t>Air Tool or Equipment</t>
  </si>
  <si>
    <t>High End CFM @100% Duty Cycle</t>
  </si>
  <si>
    <t>Average CFM @100% Duty Cycle</t>
  </si>
  <si>
    <t>Low End Amps @120V</t>
  </si>
  <si>
    <t>High End Amps @120V</t>
  </si>
  <si>
    <t>Average Amps @120V</t>
  </si>
  <si>
    <t>Max pressure (PSI)</t>
  </si>
  <si>
    <t>Custom</t>
  </si>
  <si>
    <t>Annual Electric Energy Cost</t>
  </si>
  <si>
    <t>Annual Pneumatic Energy Cost</t>
  </si>
  <si>
    <t>Annual Potential Energy Savings</t>
  </si>
  <si>
    <t>1/2'' Impact Wrench</t>
  </si>
  <si>
    <t>3/8'' Pistol-Grip Drill</t>
  </si>
  <si>
    <t>4 1/2'' Sander/Grinder</t>
  </si>
  <si>
    <t>5'' Sander/Grinder</t>
  </si>
  <si>
    <t>7'' Sander/Grinder</t>
  </si>
  <si>
    <t>Reciprocating Saw</t>
  </si>
  <si>
    <t>Low End CFM @100% 100 PSI CFM</t>
  </si>
  <si>
    <t>1/2'' Pistol-Grip Drill</t>
  </si>
  <si>
    <t>3/8'' Right Angle Drill</t>
  </si>
  <si>
    <t>1/2'' Right Angle Drill</t>
  </si>
  <si>
    <t>6'' Sander/Grinder</t>
  </si>
  <si>
    <t>Straight Grinder</t>
  </si>
  <si>
    <t>18 Gauge Nibblers</t>
  </si>
  <si>
    <t>18 Gauge Shears</t>
  </si>
  <si>
    <t>3/4'' Impact Wrench</t>
  </si>
  <si>
    <t>Pneumatic Screwdriver</t>
  </si>
  <si>
    <t>Emissions Reduced (Metric Tons CO2)</t>
  </si>
  <si>
    <t>Equivalent Miles Driven</t>
  </si>
  <si>
    <t>Air Gun</t>
  </si>
  <si>
    <t>Yearly Pneumatic Usage (CFM)</t>
  </si>
  <si>
    <t>Yearly Electric Usage (kWh)</t>
  </si>
  <si>
    <t>Initial Cost Pneumatic Industrial</t>
  </si>
  <si>
    <t>Initial Cost Pneumatic General</t>
  </si>
  <si>
    <t>Average cost of this pneumatic tool</t>
  </si>
  <si>
    <t>Initial Cost Corded Electric</t>
  </si>
  <si>
    <t>Initial Cost Battery Powered</t>
  </si>
  <si>
    <t>Annual Estimated Initial Cost</t>
  </si>
  <si>
    <t>Annual Estimated Maintenance Cost</t>
  </si>
  <si>
    <t>Estimated lifetime of compressor system (years)</t>
  </si>
  <si>
    <t>Quantity</t>
  </si>
  <si>
    <t>Quantity to be replaced with electric</t>
  </si>
  <si>
    <t>When the annual cost of maintenance and the initial cost are figured in, the savings are even larger.</t>
  </si>
  <si>
    <t>Annual Pneumatic Tool Cost</t>
  </si>
  <si>
    <t>Annual Electric Tool Cost</t>
  </si>
  <si>
    <t>New Total Annual Savings</t>
  </si>
  <si>
    <t>How much can I expect to save when the cost of the tools are taken into account? That is a great question because it is difficult to give a general answer that will work for all companies.  Each company uses their tools in different ways and different amounts which leads to a very variable tool lifetime. The tool costs are also very variable because it depends on the brand you like to buy, the quality you need and if you want to get electric tools that are cordless or corded. Annual maintenance costs for tools are variable as well. Nonetheless, our estimates on lifetime, initial cost and maintenance costs give a rough idea. In order to get a more accurate number, please enter the lifetimes and costs of your pneumatic tools as well as your replacement electric tools.</t>
  </si>
  <si>
    <t>Below is the estimated amount of money you could save by switching all of your pneumatic tools to electric. This estimate doesn't include any cost for the maintenance of the air compressor system or the large initial cost of buying such a system. Below is also the estimate of the amount of reduced pollution that switching your tools could provide.</t>
  </si>
  <si>
    <t>Input Value</t>
  </si>
  <si>
    <t>Default Value</t>
  </si>
  <si>
    <t>Compressor #1 Information</t>
  </si>
  <si>
    <t>Pressure (PSI)</t>
  </si>
  <si>
    <t>Control Method</t>
  </si>
  <si>
    <t>Motor Size (horsepower)</t>
  </si>
  <si>
    <t>Compressor #2 Information</t>
  </si>
  <si>
    <t>Compressor #3 Information</t>
  </si>
  <si>
    <t>Compressor #4 Information</t>
  </si>
  <si>
    <t>Compressor #5 Information</t>
  </si>
  <si>
    <t>Initial cost of compressor system ($)</t>
  </si>
  <si>
    <t>No</t>
  </si>
  <si>
    <t>Average cost of this  corded electric tool</t>
  </si>
  <si>
    <t>Average cost of this cordless tool</t>
  </si>
  <si>
    <t>Days used per year</t>
  </si>
  <si>
    <t>Brad/Finish/Framing Nailer</t>
  </si>
  <si>
    <t>1/4'' Die Grinder</t>
  </si>
  <si>
    <t>Control Methods</t>
  </si>
  <si>
    <t>Load/Unload</t>
  </si>
  <si>
    <t>Variable Speed Drive</t>
  </si>
  <si>
    <t>Inlet Modulating</t>
  </si>
  <si>
    <t>On/Off</t>
  </si>
  <si>
    <t>Variable Displacement</t>
  </si>
  <si>
    <t>Storage Capacity (gallons/CFM)</t>
  </si>
  <si>
    <t>Compressor Type</t>
  </si>
  <si>
    <t>Yearly Pneumatic Usage replaced (CFM)</t>
  </si>
  <si>
    <t>Yearly Electric Usage replaced (kWh)</t>
  </si>
  <si>
    <t>Annual Replaced Electric Energy Cost</t>
  </si>
  <si>
    <t>Annual Replaced Pneumatic Energy Cost</t>
  </si>
  <si>
    <t>Annual Replaced Energy Savings</t>
  </si>
  <si>
    <t>Annual cost of replaced pneumatic tools</t>
  </si>
  <si>
    <t>Annual cost of replaced corded electric tools</t>
  </si>
  <si>
    <t>Annual cost of replaced cordless tools</t>
  </si>
  <si>
    <t>Pneumatic Tool Lifetime (years)</t>
  </si>
  <si>
    <t>Annual Cordless Tool Cost</t>
  </si>
  <si>
    <t>Pneumatic Performance Parameter</t>
  </si>
  <si>
    <t>Electric Performance Paramter</t>
  </si>
  <si>
    <t>n/a</t>
  </si>
  <si>
    <t>similar free speed but is the performance really similar?</t>
  </si>
  <si>
    <t>Initial Cost of transitioning corded tools</t>
  </si>
  <si>
    <t>Initial Cost of transitioning cordless tools</t>
  </si>
  <si>
    <t>Total Annual Savings</t>
  </si>
  <si>
    <t>Unsure</t>
  </si>
  <si>
    <t>Cost of Pneumatic Tool</t>
  </si>
  <si>
    <t>Cost of Corded Tool</t>
  </si>
  <si>
    <t>Pneumatic Tool Lifetime</t>
  </si>
  <si>
    <t>Corded Tool Lifetime</t>
  </si>
  <si>
    <t>Cordless Tool Lifetime</t>
  </si>
  <si>
    <t>CFM Rating of Pneumatic Tool</t>
  </si>
  <si>
    <t>Amp Rating of Electric Tool</t>
  </si>
  <si>
    <t>Cordless</t>
  </si>
  <si>
    <t>HP</t>
  </si>
  <si>
    <t>RatedPressure</t>
  </si>
  <si>
    <t>PowerFLBHP</t>
  </si>
  <si>
    <t>TotPackageInputPower</t>
  </si>
  <si>
    <t>SpecPackagePower</t>
  </si>
  <si>
    <t>IDCompType</t>
  </si>
  <si>
    <t>idCompType</t>
  </si>
  <si>
    <t>Description</t>
  </si>
  <si>
    <t>Single stage lubricant-injected rotary screw</t>
  </si>
  <si>
    <t>Two stage lubricant-injected rotary screw</t>
  </si>
  <si>
    <t>Two stage lubricant-free rotary screw</t>
  </si>
  <si>
    <t>Single stage reciprocating</t>
  </si>
  <si>
    <t>Two stage reciprocating</t>
  </si>
  <si>
    <t>Multiple Stage Centrifugal</t>
  </si>
  <si>
    <t>How often do you replace the batteries for cordless power tools (years)?</t>
  </si>
  <si>
    <t>Screwdriver</t>
  </si>
  <si>
    <t>Typical corded electric tool lifetime (years)</t>
  </si>
  <si>
    <t>Typical pneumatic tool lifetime (years)</t>
  </si>
  <si>
    <t>Typical cordless tool lifetime (years)</t>
  </si>
  <si>
    <t>3/8'' Ratchet</t>
  </si>
  <si>
    <t>IDCompLib</t>
  </si>
  <si>
    <t>UserCreated</t>
  </si>
  <si>
    <t>IDComp</t>
  </si>
  <si>
    <t>IDMnf</t>
  </si>
  <si>
    <t>Model</t>
  </si>
  <si>
    <t>RatedCapacity</t>
  </si>
  <si>
    <t>MaxFullFlowPressure</t>
  </si>
  <si>
    <t>IDControlType</t>
  </si>
  <si>
    <t>UnloadPoint</t>
  </si>
  <si>
    <t>MinULSumpPressure</t>
  </si>
  <si>
    <t>BlowdownTime</t>
  </si>
  <si>
    <t>UnloadSteps</t>
  </si>
  <si>
    <t>ModulatingPressRange</t>
  </si>
  <si>
    <t>NoLoadPowerFM</t>
  </si>
  <si>
    <t>NoLoadPowerUL</t>
  </si>
  <si>
    <t>MaxSurgePressure</t>
  </si>
  <si>
    <t>MaxPressSurgeFlow</t>
  </si>
  <si>
    <t>MinStonewallPressure</t>
  </si>
  <si>
    <t>MinPressStonewallFlow</t>
  </si>
  <si>
    <t>DesignSurgeFlow</t>
  </si>
  <si>
    <t>DesignInTemp</t>
  </si>
  <si>
    <t>DesignInPressure</t>
  </si>
  <si>
    <t>IDMotorDrive</t>
  </si>
  <si>
    <t>IDMotorFan</t>
  </si>
  <si>
    <t>CentriCoef1</t>
  </si>
  <si>
    <t>CentriCoef2</t>
  </si>
  <si>
    <t>CentriCoef3</t>
  </si>
  <si>
    <t>Notes</t>
  </si>
  <si>
    <t>5 hp</t>
  </si>
  <si>
    <t>7.5 hp</t>
  </si>
  <si>
    <t>10 hp</t>
  </si>
  <si>
    <t>15 hp</t>
  </si>
  <si>
    <t>20 hp</t>
  </si>
  <si>
    <t>25 hp</t>
  </si>
  <si>
    <t>30 hp</t>
  </si>
  <si>
    <t>40 hp</t>
  </si>
  <si>
    <t>50 hp</t>
  </si>
  <si>
    <t>60 hp</t>
  </si>
  <si>
    <t>75 hp</t>
  </si>
  <si>
    <t>100 hp</t>
  </si>
  <si>
    <t>125 hp</t>
  </si>
  <si>
    <t>150 hp</t>
  </si>
  <si>
    <t>200 hp</t>
  </si>
  <si>
    <t>250 hp</t>
  </si>
  <si>
    <t>300 hp</t>
  </si>
  <si>
    <t>350 hp</t>
  </si>
  <si>
    <t>400 hp</t>
  </si>
  <si>
    <t>450 hp</t>
  </si>
  <si>
    <t>500 hp</t>
  </si>
  <si>
    <t>600 hp</t>
  </si>
  <si>
    <t>W-900A</t>
  </si>
  <si>
    <t>example centrifugal</t>
  </si>
  <si>
    <t>Capacity</t>
  </si>
  <si>
    <t>Load/Unload (1 gal/cfm)</t>
  </si>
  <si>
    <t>Load Unload (10 gal/CFM)</t>
  </si>
  <si>
    <t>Inlet Valve Modulation (w/o Blowdown)</t>
  </si>
  <si>
    <t>Inlet Valve Modulation (w Blowdown)</t>
  </si>
  <si>
    <t>VSD w/Unloading</t>
  </si>
  <si>
    <t>VSD w/Stopping</t>
  </si>
  <si>
    <t>Inlet modulation without unloading</t>
  </si>
  <si>
    <t>Inlet modulation with unloading</t>
  </si>
  <si>
    <t>Variable displacement with unloading</t>
  </si>
  <si>
    <t>Load/unload</t>
  </si>
  <si>
    <t>Multi-step unloading</t>
  </si>
  <si>
    <t>Start/Stop</t>
  </si>
  <si>
    <t>Inlet butterfly modulation with blowoff</t>
  </si>
  <si>
    <t>Inlet butterfly modulation with unloading</t>
  </si>
  <si>
    <t>Inlet guide vane modulation with blowoff</t>
  </si>
  <si>
    <t>Inlet guide vane modulation with unloading</t>
  </si>
  <si>
    <t>Proprietary</t>
  </si>
  <si>
    <t>specific power</t>
  </si>
  <si>
    <t>PSI</t>
  </si>
  <si>
    <t>Specific Power</t>
  </si>
  <si>
    <t>avg 0.90388</t>
  </si>
  <si>
    <t>chargers cost about $100</t>
  </si>
  <si>
    <t>Cost of Cordless Tool (kit)</t>
  </si>
  <si>
    <t>specific power linear estimates</t>
  </si>
  <si>
    <t>Will your expected lower amount of compressed air usage allow you to take offline any compressors?</t>
  </si>
  <si>
    <t>How expensive are the batteries for the cordless power tools you use or plan on using?</t>
  </si>
  <si>
    <t>How much does it cost to maintain one average pneumatic tool per year?</t>
  </si>
  <si>
    <t>How much does it cost to maintain one average corded electric tool per year?</t>
  </si>
  <si>
    <t>How much does it cost to maintain one average cordless tool per year excluding the batteries?</t>
  </si>
  <si>
    <t>Hours used per day</t>
  </si>
  <si>
    <t>Annual Estimated Maintenance Cost Saved</t>
  </si>
  <si>
    <t>If yes, how much would you expect to save on the lower annual maintenance cost on your compressor system?</t>
  </si>
  <si>
    <t>Enter in data on all of your compressors here.</t>
  </si>
  <si>
    <t>Replaced with cordless or electric</t>
  </si>
  <si>
    <t>compressor type 1</t>
  </si>
  <si>
    <t>compressor type 2</t>
  </si>
  <si>
    <t>compressor type 3</t>
  </si>
  <si>
    <t>compressor type 4</t>
  </si>
  <si>
    <t>compressor type 5</t>
  </si>
  <si>
    <t>kit vs tool difference</t>
  </si>
  <si>
    <t>Annual Battery Cost</t>
  </si>
  <si>
    <t>difference in cost kit or tool</t>
  </si>
  <si>
    <t>3 hours a day</t>
  </si>
  <si>
    <t>$100 batteries once every 1.5 years</t>
  </si>
  <si>
    <t>corded</t>
  </si>
  <si>
    <t>3 year lifetime</t>
  </si>
  <si>
    <t>pneumatic lifetime of 6 with cost of $0.08 per kWh</t>
  </si>
  <si>
    <t>High</t>
  </si>
  <si>
    <t>Medium</t>
  </si>
  <si>
    <t>Low</t>
  </si>
  <si>
    <t>average</t>
  </si>
  <si>
    <t>cordless payback</t>
  </si>
  <si>
    <t>Pneumatic Tool CFM</t>
  </si>
  <si>
    <t>Cost of pneumatic tool ($)</t>
  </si>
  <si>
    <t>Corded Electric Tool Amps</t>
  </si>
  <si>
    <t>Cost of corded electric tool ($)</t>
  </si>
  <si>
    <t>Lifetime of corded electric tool (years)</t>
  </si>
  <si>
    <t>Lifetime of cordless equivalent (years)</t>
  </si>
  <si>
    <t>Replace with?</t>
  </si>
  <si>
    <t>Corded</t>
  </si>
  <si>
    <t>Yes</t>
  </si>
  <si>
    <r>
      <t xml:space="preserve">MnTAP has developed this calculator to help you estimate how much your pneumatic hand tools cost to run and how much electric equivalent tools will cost to run. There is also a guide that goes with this calculator. All of the </t>
    </r>
    <r>
      <rPr>
        <sz val="11"/>
        <color theme="5" tint="-0.249977111117893"/>
        <rFont val="Calibri"/>
        <family val="2"/>
        <scheme val="minor"/>
      </rPr>
      <t>red/orange</t>
    </r>
    <r>
      <rPr>
        <sz val="11"/>
        <color theme="1"/>
        <rFont val="Calibri"/>
        <family val="2"/>
        <scheme val="minor"/>
      </rPr>
      <t xml:space="preserve"> questions are required. Many cells have comments that explain more about the question and what type of answer is expected. In order to view the comments just hover over cells that have red triangles in the upper right corner.  Try your best to give accurate answers because the calculator is only as good as the information that you put into it.</t>
    </r>
  </si>
  <si>
    <t>Cost of cordless kit equivalent ($)</t>
  </si>
  <si>
    <t>Single-Stage Rotary Screw</t>
  </si>
  <si>
    <t>high</t>
  </si>
  <si>
    <t>med</t>
  </si>
  <si>
    <t>low</t>
  </si>
  <si>
    <t>fixing factor</t>
  </si>
  <si>
    <t>Power Tool Questions</t>
  </si>
  <si>
    <t>Compressor Questions</t>
  </si>
  <si>
    <t>Annual cost of replaced preference</t>
  </si>
  <si>
    <t>Initial cost of replaced preference</t>
  </si>
  <si>
    <t>Annual Preference Tool Cost</t>
  </si>
  <si>
    <t>tool annual maintenance cost</t>
  </si>
  <si>
    <t>Would you like the cost estimate to use your replacement preference, all corded or all cordless electric tools?</t>
  </si>
  <si>
    <t>annual battery costs</t>
  </si>
  <si>
    <t>after prices fixed or mutliplied by 0.65 this is using same assumptions as above</t>
  </si>
  <si>
    <t>switched price per kwh from commercial rate to industrial rate using all default values except 1.5 years for batteries</t>
  </si>
  <si>
    <t>Cost of preference minus batteries</t>
  </si>
  <si>
    <t>Initial cost of replaced preference minus batteries</t>
  </si>
  <si>
    <t>using 0.65 grainger cost factor</t>
  </si>
  <si>
    <r>
      <t xml:space="preserve">Below is the estimated amount of money you could save by </t>
    </r>
    <r>
      <rPr>
        <b/>
        <sz val="11"/>
        <color theme="1"/>
        <rFont val="Calibri"/>
        <family val="2"/>
        <scheme val="minor"/>
      </rPr>
      <t>switching</t>
    </r>
    <r>
      <rPr>
        <sz val="11"/>
        <color theme="1"/>
        <rFont val="Calibri"/>
        <family val="2"/>
        <scheme val="minor"/>
      </rPr>
      <t xml:space="preserve"> </t>
    </r>
    <r>
      <rPr>
        <b/>
        <sz val="11"/>
        <color theme="1"/>
        <rFont val="Calibri"/>
        <family val="2"/>
        <scheme val="minor"/>
      </rPr>
      <t>all of your pneumatic tools to electric</t>
    </r>
    <r>
      <rPr>
        <sz val="11"/>
        <color theme="1"/>
        <rFont val="Calibri"/>
        <family val="2"/>
        <scheme val="minor"/>
      </rPr>
      <t>. Below is also the estimate of the amount of reduced pollution that switching your tools would provide.</t>
    </r>
  </si>
  <si>
    <r>
      <t xml:space="preserve">Below is the estimated amount of money you could save by </t>
    </r>
    <r>
      <rPr>
        <b/>
        <sz val="11"/>
        <color theme="1"/>
        <rFont val="Calibri"/>
        <family val="2"/>
        <scheme val="minor"/>
      </rPr>
      <t>switching the</t>
    </r>
    <r>
      <rPr>
        <sz val="11"/>
        <color theme="1"/>
        <rFont val="Calibri"/>
        <family val="2"/>
        <scheme val="minor"/>
      </rPr>
      <t xml:space="preserve"> </t>
    </r>
    <r>
      <rPr>
        <b/>
        <sz val="11"/>
        <color theme="1"/>
        <rFont val="Calibri"/>
        <family val="2"/>
        <scheme val="minor"/>
      </rPr>
      <t>tools previously identified as being replaced</t>
    </r>
    <r>
      <rPr>
        <sz val="11"/>
        <color theme="1"/>
        <rFont val="Calibri"/>
        <family val="2"/>
        <scheme val="minor"/>
      </rPr>
      <t>.</t>
    </r>
  </si>
  <si>
    <r>
      <rPr>
        <b/>
        <sz val="11"/>
        <color theme="1"/>
        <rFont val="Calibri"/>
        <family val="2"/>
        <scheme val="minor"/>
      </rPr>
      <t>How much can I expect to save when the cost of the tools are taken into account</t>
    </r>
    <r>
      <rPr>
        <sz val="11"/>
        <color theme="1"/>
        <rFont val="Calibri"/>
        <family val="2"/>
        <scheme val="minor"/>
      </rPr>
      <t>? It is difficult to give a general answer that is accurate for all companies. The tool costs are variable because it depends on the brand you like to buy, the quality you need and any other performance requirements. Nonetheless, our estimates for costs give a rough idea. If you entered in custom costs then this calculation will be more accurate.</t>
    </r>
  </si>
  <si>
    <t>Do you want to include the initial cost of the compressor system into the estimate? If not, skip the next two questions.</t>
  </si>
  <si>
    <t xml:space="preserve">Annual Estimated Initial Cost </t>
  </si>
  <si>
    <t>Other Questions</t>
  </si>
  <si>
    <t>What is the capacity in amp-hours of the batteries you use or plan on using?</t>
  </si>
  <si>
    <t>Hours used per year</t>
  </si>
  <si>
    <t>Control Type</t>
  </si>
  <si>
    <t>% power/%load at 50% load</t>
  </si>
  <si>
    <t>Pneumatic General</t>
  </si>
  <si>
    <t>Pneumatic Industrial</t>
  </si>
  <si>
    <r>
      <t xml:space="preserve">How long is the </t>
    </r>
    <r>
      <rPr>
        <b/>
        <sz val="11"/>
        <color theme="1"/>
        <rFont val="Calibri"/>
        <family val="2"/>
        <scheme val="minor"/>
      </rPr>
      <t>simple payback</t>
    </r>
    <r>
      <rPr>
        <sz val="11"/>
        <color theme="1"/>
        <rFont val="Calibri"/>
        <family val="2"/>
        <scheme val="minor"/>
      </rPr>
      <t xml:space="preserve"> of transitioning tools identified as replaceable to electric? This is a </t>
    </r>
    <r>
      <rPr>
        <b/>
        <sz val="11"/>
        <color theme="1"/>
        <rFont val="Calibri"/>
        <family val="2"/>
        <scheme val="minor"/>
      </rPr>
      <t>one time investment</t>
    </r>
    <r>
      <rPr>
        <sz val="11"/>
        <color theme="1"/>
        <rFont val="Calibri"/>
        <family val="2"/>
        <scheme val="minor"/>
      </rPr>
      <t xml:space="preserve"> as the difference in pneumatic annual cost and electric annual cost is already calculated into the annual savings. Call your local utility to see if you can get any rebates from lowering your air consumption or from taking a compressor offline.</t>
    </r>
  </si>
  <si>
    <t>Cost of Cordless tool kit</t>
  </si>
  <si>
    <t>When the annual cost of compressor maintenance and the initial cost are figured in, the savings are even larger.</t>
  </si>
  <si>
    <t>estimated with average load%</t>
  </si>
  <si>
    <t>Variable Displacementt</t>
  </si>
  <si>
    <t>On/Offf</t>
  </si>
  <si>
    <t>Average Load%</t>
  </si>
  <si>
    <t>?</t>
  </si>
  <si>
    <t>Replacement Type</t>
  </si>
  <si>
    <t>Tool #1</t>
  </si>
  <si>
    <t>Tool #2</t>
  </si>
  <si>
    <t>Tool #3</t>
  </si>
  <si>
    <t>Tool #4</t>
  </si>
  <si>
    <t>Tool #5</t>
  </si>
  <si>
    <t>Tool #6</t>
  </si>
  <si>
    <t>Tool #7</t>
  </si>
  <si>
    <t>Tool #8</t>
  </si>
  <si>
    <t>Tool #9</t>
  </si>
  <si>
    <t>Tool #10</t>
  </si>
  <si>
    <t>5'' Random Disc Sander</t>
  </si>
  <si>
    <t>Help</t>
  </si>
  <si>
    <t>Questions</t>
  </si>
  <si>
    <t>Nailer</t>
  </si>
  <si>
    <t>Results</t>
  </si>
  <si>
    <t>Equivalent Electric Energy Cost</t>
  </si>
  <si>
    <t>Your Projected Payback Time</t>
  </si>
  <si>
    <t>Projected Savings Over Time</t>
  </si>
  <si>
    <t>Savings over time</t>
  </si>
  <si>
    <t>Month</t>
  </si>
  <si>
    <t xml:space="preserve"> </t>
  </si>
  <si>
    <t>Pneumatic Energy Cost (Medium)</t>
  </si>
  <si>
    <t>Pneumatic Energy Cost (Low)</t>
  </si>
  <si>
    <t>Cost of New Tools</t>
  </si>
  <si>
    <t>Annual Replacement Tool Cost</t>
  </si>
  <si>
    <t>Projected Savings (Medium)</t>
  </si>
  <si>
    <t>Projected Savings (Low)</t>
  </si>
  <si>
    <t>Pneumatic Energy Cost (High)</t>
  </si>
  <si>
    <t>Projected Savings (High)</t>
  </si>
  <si>
    <t>basic cost graph data</t>
  </si>
  <si>
    <t>What % of the total air flow out of the compressors is leaked into the air?</t>
  </si>
  <si>
    <t>What is the average annual maintenance cost of a pneumatic tool?</t>
  </si>
  <si>
    <t>What is the average annual maintenance cost of a corded electric tool?</t>
  </si>
  <si>
    <t>What is the average annual maintenance cost of a cordless electric tool?</t>
  </si>
  <si>
    <t>What is the average lifetime (years) of a pneumatic tool?</t>
  </si>
  <si>
    <t>What is the average lifetime (years) of a corded electric tool?</t>
  </si>
  <si>
    <t>What is the average lifetime (years) of a cordless electric tool?</t>
  </si>
  <si>
    <t>What is your average cost per kilowatt-hour of electricity?</t>
  </si>
  <si>
    <t>Default</t>
  </si>
  <si>
    <t>General Questions</t>
  </si>
  <si>
    <t>Compressor #1</t>
  </si>
  <si>
    <t>Compressor #2</t>
  </si>
  <si>
    <t>Compressor #3</t>
  </si>
  <si>
    <t>Compressor #4</t>
  </si>
  <si>
    <t>Compressor #5</t>
  </si>
  <si>
    <t>Compressor #6</t>
  </si>
  <si>
    <t>Compressor #7</t>
  </si>
  <si>
    <t>Compressor #8</t>
  </si>
  <si>
    <t>Compressor #9</t>
  </si>
  <si>
    <t>Compressor #10</t>
  </si>
  <si>
    <t>Motor Size (HP)</t>
  </si>
  <si>
    <t>Compressor Information</t>
  </si>
  <si>
    <t>Power Tool Information</t>
  </si>
  <si>
    <t>Pneumatic Lifetime</t>
  </si>
  <si>
    <t>Replacement Lifetime</t>
  </si>
  <si>
    <t>Pneumatic CFM</t>
  </si>
  <si>
    <t>Replacement Amps</t>
  </si>
  <si>
    <t>call around to find if cordless tools usually have lower maximum power draw</t>
  </si>
  <si>
    <t>Comp #1</t>
  </si>
  <si>
    <t>Comp #2</t>
  </si>
  <si>
    <t>Comp #3</t>
  </si>
  <si>
    <t>Comp #4</t>
  </si>
  <si>
    <t>Comp #5</t>
  </si>
  <si>
    <t>Comp #6</t>
  </si>
  <si>
    <t>Comp#7</t>
  </si>
  <si>
    <t>Comp#8</t>
  </si>
  <si>
    <t>Comp#9</t>
  </si>
  <si>
    <t>Comp#10</t>
  </si>
  <si>
    <t>Single-Stage Piston</t>
  </si>
  <si>
    <t>Impeller/Centrifugal</t>
  </si>
  <si>
    <t>Two-Stage Rotary Screw</t>
  </si>
  <si>
    <t>Two-Stage Piston</t>
  </si>
  <si>
    <t>estimated using average load%</t>
  </si>
  <si>
    <t>4 compared to 1</t>
  </si>
  <si>
    <t>average 4 compared to 1</t>
  </si>
  <si>
    <t>average of 4 compared to 1</t>
  </si>
  <si>
    <t>average of average 4 compared to 1</t>
  </si>
  <si>
    <t>type 1</t>
  </si>
  <si>
    <t>type 2</t>
  </si>
  <si>
    <t>No such type in AirMaster+ database</t>
  </si>
  <si>
    <t>White box is linearly interpolated data</t>
  </si>
  <si>
    <t>5HP Type List</t>
  </si>
  <si>
    <t>10HP Type List</t>
  </si>
  <si>
    <t>20HP Type List</t>
  </si>
  <si>
    <t>25HP Type List</t>
  </si>
  <si>
    <t>30HP Type List</t>
  </si>
  <si>
    <t>40HP Type List</t>
  </si>
  <si>
    <t>50HP Type List</t>
  </si>
  <si>
    <t>60HP Type List</t>
  </si>
  <si>
    <t>75HP Type List</t>
  </si>
  <si>
    <t>100HP Type List</t>
  </si>
  <si>
    <t>125HP Type List</t>
  </si>
  <si>
    <t>150HP Type List</t>
  </si>
  <si>
    <t>200HP Type List</t>
  </si>
  <si>
    <t>5-100Type</t>
  </si>
  <si>
    <t>5-110 Types</t>
  </si>
  <si>
    <t>5-125 Types</t>
  </si>
  <si>
    <t>10-100 Types</t>
  </si>
  <si>
    <t>10-125 Types</t>
  </si>
  <si>
    <t>20-100Types</t>
  </si>
  <si>
    <t>20-125 Types</t>
  </si>
  <si>
    <t>10-110 Types</t>
  </si>
  <si>
    <t>20-110 Types</t>
  </si>
  <si>
    <t>25-100Types</t>
  </si>
  <si>
    <t>25-125 Types</t>
  </si>
  <si>
    <t>25-110 Types</t>
  </si>
  <si>
    <t>30-100 Types</t>
  </si>
  <si>
    <t>30-125 Types</t>
  </si>
  <si>
    <t>30-110 Types</t>
  </si>
  <si>
    <t>40-110</t>
  </si>
  <si>
    <t>40-125</t>
  </si>
  <si>
    <t>40-100</t>
  </si>
  <si>
    <t>50-100</t>
  </si>
  <si>
    <t>50-110</t>
  </si>
  <si>
    <t>50-115</t>
  </si>
  <si>
    <t>50-125</t>
  </si>
  <si>
    <t>60-100</t>
  </si>
  <si>
    <t>60-115</t>
  </si>
  <si>
    <t>60-125</t>
  </si>
  <si>
    <t>75-100</t>
  </si>
  <si>
    <t>75-110</t>
  </si>
  <si>
    <t>75-115</t>
  </si>
  <si>
    <t>75-125</t>
  </si>
  <si>
    <t>100-100</t>
  </si>
  <si>
    <t>100-110</t>
  </si>
  <si>
    <t>100-115</t>
  </si>
  <si>
    <t>100-125</t>
  </si>
  <si>
    <t>125-100</t>
  </si>
  <si>
    <t>125-110</t>
  </si>
  <si>
    <t>125-115</t>
  </si>
  <si>
    <t>125-125</t>
  </si>
  <si>
    <t>150-100</t>
  </si>
  <si>
    <t>150-110</t>
  </si>
  <si>
    <t>150-115</t>
  </si>
  <si>
    <t>150-125</t>
  </si>
  <si>
    <t>200-100</t>
  </si>
  <si>
    <t>200-110</t>
  </si>
  <si>
    <t>200-115</t>
  </si>
  <si>
    <t>200-125</t>
  </si>
  <si>
    <t>60-110</t>
  </si>
  <si>
    <t>40-115</t>
  </si>
  <si>
    <t>30-115</t>
  </si>
  <si>
    <t>25-115</t>
  </si>
  <si>
    <t>a</t>
  </si>
  <si>
    <t>b</t>
  </si>
  <si>
    <t>e</t>
  </si>
  <si>
    <t>d</t>
  </si>
  <si>
    <t>f</t>
  </si>
  <si>
    <t>g</t>
  </si>
  <si>
    <t>h</t>
  </si>
  <si>
    <t>i</t>
  </si>
  <si>
    <t>j</t>
  </si>
  <si>
    <t>k</t>
  </si>
  <si>
    <t>l</t>
  </si>
  <si>
    <t>m</t>
  </si>
  <si>
    <t>n</t>
  </si>
  <si>
    <t>Type</t>
  </si>
  <si>
    <t>INDEX(tbl_secondary2[PSI],MATCH(Advanced!$C$31,tbl_secondary2[HP],0),1):INDEX(tbl_secondary2[PSI],MATCH(Advanced!$C$31,tbl_secondary2[HP],1),1)</t>
  </si>
  <si>
    <t>INDEX(tbl_three3[Type],MATCH(Advanced!$C$28,tbl_three3[PSI],0),1):INDEX(tbl_three3[Type],MATCH(Advanced!$C$28,tbl_three3[PSI],1),1)</t>
  </si>
  <si>
    <t>INDEX(tbl_three3[Type],MATCH(Advanced!$C$28&amp;Advanced!$C$29,tbl_three3[HP]&amp;tbl_three3[PSI],0),1):INDEX(tbl_three3[Type],(MATCH(Advanced!$C$28&amp;Advanced!$C$29,tbl_three3[HP]&amp;tbl_three3[PSI],0)+COUNTIFS(tbl_three3[HP],Advanced!$C$28,tbl_three3[PSI],Advanced!$C$29)),1)</t>
  </si>
  <si>
    <t>INDEX(tbl_three3[Type],MATCH(Advanced!$C$28&amp;Advanced!$C$29,tbl_three3[HP]&amp;tbl_three3[PSI],0),1):INDEX(tbl_three3[Type],(MATCH(Advanced!$C$28&amp;Advanced!$C$29,tbl_three3[HP]&amp;tbl_three3[PSI],0)-1+COUNTIFS(tbl_three3[HP],Advanced!$C$28,tbl_three3[PSI],Advanced!$C$29)),1)</t>
  </si>
  <si>
    <t>type list</t>
  </si>
  <si>
    <t>psi list</t>
  </si>
  <si>
    <t>INDEX(tbl_three3[Type],MATCH(Advanced!$D$28&amp;Advanced!$D$29,tbl_three3[HP]&amp;tbl_three3[PSI],0),1):INDEX(tbl_three3[Type],(MATCH(Advanced!$D$28&amp;Advanced!$D$29,tbl_three3[HP]&amp;tbl_three3[PSI],0)-1+COUNTIFS(tbl_three3[HP],Advanced!$C$28,tbl_three3[PSI],Advanced!$D$29)),1)</t>
  </si>
  <si>
    <t>INDEX(tbl_secondary2[PSI],MATCH(Advanced!D$28,tbl_secondary2[HP],0),1):INDEX(tbl_secondary2[PSI],MATCH(Advanced!D$28,tbl_secondary2[HP],1),1)</t>
  </si>
  <si>
    <t>c_1psi</t>
  </si>
  <si>
    <t>c_2psi</t>
  </si>
  <si>
    <t>c_1type</t>
  </si>
  <si>
    <t>c_2type</t>
  </si>
  <si>
    <t>INDEX(tbl_three3[Type],MATCH(Advanced!F$28&amp;Advanced!F$29,tbl_three3[HP]&amp;tbl_three3[PSI],0),1):INDEX(tbl_three3[Type],(MATCH(Advanced!F$28&amp;Advanced!F$29,tbl_three3[HP]&amp;tbl_three3[PSI],0)-1+COUNTIFS(tbl_three3[HP],Advanced!F$28,tbl_three3[PSI],Advanced!F$29)),1)</t>
  </si>
  <si>
    <t>estimated using default load and control</t>
  </si>
  <si>
    <t>Annual Emissions</t>
  </si>
  <si>
    <t>need to make sure all permutation of tool types has cfm,amp values in the consumption tab</t>
  </si>
  <si>
    <t>% of total air made (going by hp and % load)</t>
  </si>
  <si>
    <t>hp times % load</t>
  </si>
  <si>
    <t>weighted average specific power components</t>
  </si>
  <si>
    <t>weighted average specific power estimate</t>
  </si>
  <si>
    <t>change estimate parameters so that if they are blank or unsure it is the same thing</t>
  </si>
  <si>
    <t>Defaulted ss rotary screw  then ss piston</t>
  </si>
  <si>
    <t>Compressor System Specific Power Estimate</t>
  </si>
  <si>
    <t>Annual cost of  pneumatic tools</t>
  </si>
  <si>
    <t>Yearly Pneumatic Usage(CFM*hours)</t>
  </si>
  <si>
    <t>Yearly Pneumatic Usage (CFM*hours)</t>
  </si>
  <si>
    <t>Metric tons CO2 emission reduced (Low)</t>
  </si>
  <si>
    <t>Metric tons CO2 emission reduced (High)</t>
  </si>
  <si>
    <t>top position error bar</t>
  </si>
  <si>
    <t>bottom position error bar</t>
  </si>
  <si>
    <t>if custom compressor</t>
  </si>
  <si>
    <t>if custom tools</t>
  </si>
  <si>
    <t>Default Efficiency</t>
  </si>
  <si>
    <t>Custom Efficiency</t>
  </si>
  <si>
    <t>Interpretation of Results</t>
  </si>
  <si>
    <t>top position of error bars</t>
  </si>
  <si>
    <t>bottom positions of error bars</t>
  </si>
  <si>
    <t>Replacement annual maintenance cost</t>
  </si>
  <si>
    <t>Pneumatic annual maintenance cost</t>
  </si>
  <si>
    <t>Pneumatic Annual Maintenance Cost</t>
  </si>
  <si>
    <t>Replacement Annual Maintenance Cost</t>
  </si>
  <si>
    <t>The purpose of this calculator is to provide businesses and utilities with estimates of the savings possible by replacing pneumatic power tools with electric-driven power tools. This advanced calculator version allows for many custom parameters such as entering your own cost per kilowatt-hour.</t>
  </si>
  <si>
    <t>One-Stage Rotary Screw</t>
  </si>
  <si>
    <t>One-Stage Piston</t>
  </si>
  <si>
    <t>change all compressor type to use one instead of single</t>
  </si>
  <si>
    <r>
      <t>The purpose of this calculator is to provide businesses and utilities with estimates of the savings possible by replacing pneumatic power tools with electric-driven power tools. The estimates below use default values to quickly show if the potential savings is enough to justify further consideration. A more advanced calculator is available by clicking on the red "</t>
    </r>
    <r>
      <rPr>
        <sz val="11"/>
        <color rgb="FFFF0000"/>
        <rFont val="Calibri"/>
        <family val="2"/>
        <scheme val="minor"/>
      </rPr>
      <t>Advanced</t>
    </r>
    <r>
      <rPr>
        <sz val="11"/>
        <color theme="1"/>
        <rFont val="Calibri"/>
        <family val="2"/>
        <scheme val="minor"/>
      </rPr>
      <t>" tab near the bottom left of this spreadsheet.</t>
    </r>
  </si>
  <si>
    <t>Pneumatic Tools</t>
  </si>
  <si>
    <t>Electric Tools</t>
  </si>
  <si>
    <t>Efficient Compressor</t>
  </si>
  <si>
    <t>Inefficient Compressor</t>
  </si>
  <si>
    <t>Compressor Efficiency</t>
  </si>
  <si>
    <t>Efficient</t>
  </si>
  <si>
    <t>Inefficient</t>
  </si>
  <si>
    <t>Comparison of Tool Systems</t>
  </si>
  <si>
    <t>Annual Costs</t>
  </si>
  <si>
    <t>Annual Savings</t>
  </si>
  <si>
    <t>Pneumatic Cost
- Electric Cost</t>
  </si>
  <si>
    <t>TOTAL</t>
  </si>
  <si>
    <t>Cost to Implement Electric Tools</t>
  </si>
  <si>
    <t>Payback Period (months)</t>
  </si>
  <si>
    <t>Compressor Efficieny</t>
  </si>
  <si>
    <r>
      <t>Pneumatic Tool CO</t>
    </r>
    <r>
      <rPr>
        <b/>
        <vertAlign val="subscript"/>
        <sz val="12"/>
        <color theme="1"/>
        <rFont val="Calibri"/>
        <family val="2"/>
        <scheme val="minor"/>
      </rPr>
      <t>2</t>
    </r>
    <r>
      <rPr>
        <b/>
        <sz val="12"/>
        <color theme="1"/>
        <rFont val="Calibri"/>
        <family val="2"/>
        <scheme val="minor"/>
      </rPr>
      <t xml:space="preserve"> Emissions (Metric Tons)</t>
    </r>
  </si>
  <si>
    <r>
      <t>Electric Tool CO</t>
    </r>
    <r>
      <rPr>
        <b/>
        <vertAlign val="subscript"/>
        <sz val="12"/>
        <color theme="1"/>
        <rFont val="Calibri"/>
        <family val="2"/>
        <scheme val="minor"/>
      </rPr>
      <t>2</t>
    </r>
    <r>
      <rPr>
        <b/>
        <sz val="12"/>
        <color theme="1"/>
        <rFont val="Calibri"/>
        <family val="2"/>
        <scheme val="minor"/>
      </rPr>
      <t xml:space="preserve"> Emissions (Metric Tons)</t>
    </r>
  </si>
  <si>
    <r>
      <t>Potential CO</t>
    </r>
    <r>
      <rPr>
        <b/>
        <vertAlign val="subscript"/>
        <sz val="12"/>
        <color theme="1"/>
        <rFont val="Calibri"/>
        <family val="2"/>
        <scheme val="minor"/>
      </rPr>
      <t>2</t>
    </r>
    <r>
      <rPr>
        <b/>
        <sz val="12"/>
        <color theme="1"/>
        <rFont val="Calibri"/>
        <family val="2"/>
        <scheme val="minor"/>
      </rPr>
      <t xml:space="preserve"> Emissions Reduced (Metric Tons)</t>
    </r>
  </si>
  <si>
    <t>Custom Compressor</t>
  </si>
  <si>
    <r>
      <rPr>
        <b/>
        <sz val="11"/>
        <color theme="1"/>
        <rFont val="Calibri"/>
        <family val="2"/>
        <scheme val="minor"/>
      </rPr>
      <t>Directions:</t>
    </r>
    <r>
      <rPr>
        <sz val="11"/>
        <color theme="1"/>
        <rFont val="Calibri"/>
        <family val="2"/>
        <scheme val="minor"/>
      </rPr>
      <t xml:space="preserve"> Cells for user input are shaded yellow. For each tool type that is being considered to be replaced, fill in that column of values by using the drop-down or typing in values. To get more information about a question, hover your mouse over the corresponding box with a question mark inside of it. It is highly recommended to do this for each question. Scroll down to see the results.</t>
    </r>
  </si>
  <si>
    <r>
      <rPr>
        <b/>
        <sz val="11"/>
        <color theme="1"/>
        <rFont val="Calibri"/>
        <family val="2"/>
        <scheme val="minor"/>
      </rPr>
      <t>Compressor Information Directions:</t>
    </r>
    <r>
      <rPr>
        <sz val="11"/>
        <color theme="1"/>
        <rFont val="Calibri"/>
        <family val="2"/>
        <scheme val="minor"/>
      </rPr>
      <t xml:space="preserve"> Cells for user input are shaded yellow. This entire section is completely optional but it is recommended in order to get the most accurate savings estimate. When entering or modifying information, always fill in values from the top-down. This is because the options for the later questions depend on the values entered in on the earlier questions. The motor size and pressure are the only required questions for each compressor. The default values for the other questions can be found by hovering over their help box.</t>
    </r>
  </si>
  <si>
    <r>
      <rPr>
        <b/>
        <sz val="11"/>
        <color theme="1"/>
        <rFont val="Calibri"/>
        <family val="2"/>
        <scheme val="minor"/>
      </rPr>
      <t>Power Tool Information Directions:</t>
    </r>
    <r>
      <rPr>
        <sz val="11"/>
        <color theme="1"/>
        <rFont val="Calibri"/>
        <family val="2"/>
        <scheme val="minor"/>
      </rPr>
      <t xml:space="preserve"> Cells for user input are shaded yellow. The required values for each tool are: tool type, quantity, hours used per day, and days used per year. All of the rest of the questions have default values and can be left blank or filled in with your own custom value. Pay special attention to the help for these questions because some of the custom values require a very specific type of information.</t>
    </r>
  </si>
  <si>
    <t>Pneumatic Maintenance Cost Per Year Per Tool ($)</t>
  </si>
  <si>
    <t>Replacement Maintenance Cost Per Year Per Tool($)</t>
  </si>
  <si>
    <t>Payback Time Months (High Savings)</t>
  </si>
  <si>
    <t>Payback Time Months (Medium Savings)</t>
  </si>
  <si>
    <t>Payback Time Months (Low Savings)</t>
  </si>
  <si>
    <t>maintenance  cost estimates</t>
  </si>
  <si>
    <t>Electric</t>
  </si>
  <si>
    <t>Required</t>
  </si>
  <si>
    <r>
      <rPr>
        <b/>
        <sz val="11"/>
        <color theme="1"/>
        <rFont val="Calibri"/>
        <family val="2"/>
        <scheme val="minor"/>
      </rPr>
      <t>Directions:</t>
    </r>
    <r>
      <rPr>
        <sz val="11"/>
        <color theme="1"/>
        <rFont val="Calibri"/>
        <family val="2"/>
        <scheme val="minor"/>
      </rPr>
      <t xml:space="preserve"> Cells for user input are shaded yellow. For each question, enter the value you would like to use or leave it blank to use the default values. To get more information about a question, hover your mouse over the corresponding box with a question mark inside of it. Please read the information about each question before entering in values as some of the questions require very specific information. Scroll down to see the results.  Yellow cells are required.</t>
    </r>
  </si>
  <si>
    <t>Cost Comparison of Tool Systems</t>
  </si>
  <si>
    <t>Annual Energy Cost ($)</t>
  </si>
  <si>
    <t>Annual Energy (kWh)</t>
  </si>
  <si>
    <t>Annual Tool Cost ($)</t>
  </si>
  <si>
    <t>Energy Cost ($)</t>
  </si>
  <si>
    <t>Tool Cost ($)</t>
  </si>
  <si>
    <t>Energy (kWh)</t>
  </si>
  <si>
    <t>Pneumatic Costs</t>
  </si>
  <si>
    <t>Electric Costs</t>
  </si>
  <si>
    <t>(Pneumatic Costs - Electric Costs)</t>
  </si>
  <si>
    <t>Initial Cost, no Battery, Just Tool</t>
  </si>
  <si>
    <t>12/20/17 - make these values make those found left - correct?</t>
  </si>
  <si>
    <t>None of the tools below are included in the tool due to lack of information</t>
  </si>
  <si>
    <t>Pneumatic Initial Cost per Tool</t>
  </si>
  <si>
    <t>Replacement Initial Cost per Tool</t>
  </si>
  <si>
    <t>Modify in Power Tool Information</t>
  </si>
  <si>
    <t>Optional</t>
  </si>
  <si>
    <t>MnTAP Pneumatic to Electric Tool Cost Calculator</t>
  </si>
  <si>
    <t xml:space="preserve">Inefficient Compressor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</si>
</sst>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quot;$&quot;#,##0"/>
    <numFmt numFmtId="168" formatCode="0.00000"/>
    <numFmt numFmtId="169" formatCode="0.000"/>
    <numFmt numFmtId="170" formatCode="0.000000"/>
    <numFmt numFmtId="171" formatCode="#,##0.0_);[Red]\(#,##0.0\)"/>
    <numFmt numFmtId="172" formatCode="&quot;$&quot;#,##0.0000"/>
  </numFmts>
  <fonts count="3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u/>
      <sz val="11"/>
      <color theme="10"/>
      <name val="Calibri"/>
      <family val="2"/>
      <scheme val="minor"/>
    </font>
    <font>
      <b/>
      <sz val="9"/>
      <color indexed="10"/>
      <name val="Tahoma"/>
      <family val="2"/>
    </font>
    <font>
      <sz val="9"/>
      <color indexed="10"/>
      <name val="Tahoma"/>
      <family val="2"/>
    </font>
    <font>
      <b/>
      <sz val="11"/>
      <color theme="1"/>
      <name val="Calibri"/>
      <family val="2"/>
      <scheme val="minor"/>
    </font>
    <font>
      <sz val="11"/>
      <name val="Calibri"/>
      <family val="2"/>
      <scheme val="minor"/>
    </font>
    <font>
      <sz val="11"/>
      <color theme="5" tint="-0.249977111117893"/>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sz val="11"/>
      <color rgb="FFFF0000"/>
      <name val="Calibri"/>
      <family val="2"/>
      <scheme val="minor"/>
    </font>
    <font>
      <b/>
      <sz val="22"/>
      <color theme="3"/>
      <name val="Calibri Light"/>
      <family val="2"/>
      <scheme val="major"/>
    </font>
    <font>
      <b/>
      <sz val="11"/>
      <color theme="0"/>
      <name val="Calibri"/>
      <family val="2"/>
      <scheme val="minor"/>
    </font>
    <font>
      <sz val="11"/>
      <color theme="1"/>
      <name val="Calibri"/>
      <family val="2"/>
      <scheme val="minor"/>
    </font>
    <font>
      <sz val="8.5"/>
      <color theme="1"/>
      <name val="Calibri"/>
      <family val="2"/>
      <scheme val="minor"/>
    </font>
    <font>
      <sz val="16"/>
      <color theme="1"/>
      <name val="Calibri"/>
      <family val="2"/>
      <scheme val="minor"/>
    </font>
    <font>
      <b/>
      <sz val="11"/>
      <color theme="3"/>
      <name val="Calibri"/>
      <family val="2"/>
      <scheme val="minor"/>
    </font>
    <font>
      <sz val="9"/>
      <color theme="1"/>
      <name val="Calibri"/>
      <family val="2"/>
      <scheme val="minor"/>
    </font>
    <font>
      <i/>
      <sz val="9"/>
      <color indexed="81"/>
      <name val="Tahoma"/>
      <family val="2"/>
    </font>
    <font>
      <b/>
      <sz val="11"/>
      <name val="Calibri"/>
      <family val="2"/>
      <scheme val="minor"/>
    </font>
    <font>
      <b/>
      <u/>
      <sz val="9"/>
      <color indexed="81"/>
      <name val="Tahoma"/>
      <family val="2"/>
    </font>
    <font>
      <b/>
      <sz val="12"/>
      <color theme="1"/>
      <name val="Calibri"/>
      <family val="2"/>
      <scheme val="minor"/>
    </font>
    <font>
      <b/>
      <sz val="14"/>
      <color theme="1"/>
      <name val="Calibri"/>
      <family val="2"/>
      <scheme val="minor"/>
    </font>
    <font>
      <b/>
      <sz val="36"/>
      <color theme="3"/>
      <name val="Calibri"/>
      <family val="2"/>
      <scheme val="minor"/>
    </font>
    <font>
      <b/>
      <vertAlign val="subscript"/>
      <sz val="12"/>
      <color theme="1"/>
      <name val="Calibri"/>
      <family val="2"/>
      <scheme val="minor"/>
    </font>
    <font>
      <sz val="9"/>
      <name val="Calibri"/>
      <family val="2"/>
      <scheme val="minor"/>
    </font>
  </fonts>
  <fills count="46">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theme="6" tint="0.79998168889431442"/>
        <bgColor theme="6" tint="0.79998168889431442"/>
      </patternFill>
    </fill>
    <fill>
      <patternFill patternType="solid">
        <fgColor theme="2" tint="-0.249977111117893"/>
        <bgColor indexed="64"/>
      </patternFill>
    </fill>
    <fill>
      <patternFill patternType="solid">
        <fgColor theme="6" tint="0.79998168889431442"/>
        <bgColor theme="0" tint="-0.14993743705557422"/>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theme="0" tint="-0.14993743705557422"/>
      </patternFill>
    </fill>
    <fill>
      <patternFill patternType="solid">
        <fgColor theme="5" tint="-0.249977111117893"/>
        <bgColor indexed="64"/>
      </patternFill>
    </fill>
    <fill>
      <patternFill patternType="solid">
        <fgColor rgb="FFFF0000"/>
        <bgColor theme="0" tint="-0.14993743705557422"/>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59999389629810485"/>
        <bgColor theme="6" tint="0.79998168889431442"/>
      </patternFill>
    </fill>
    <fill>
      <patternFill patternType="solid">
        <fgColor theme="7" tint="0.79998168889431442"/>
        <bgColor indexed="64"/>
      </patternFill>
    </fill>
    <fill>
      <patternFill patternType="solid">
        <fgColor theme="7" tint="0.79998168889431442"/>
        <bgColor theme="0" tint="-0.14993743705557422"/>
      </patternFill>
    </fill>
    <fill>
      <patternFill patternType="solid">
        <fgColor theme="7" tint="0.59999389629810485"/>
        <bgColor theme="0" tint="-0.14993743705557422"/>
      </patternFill>
    </fill>
    <fill>
      <patternFill patternType="solid">
        <fgColor rgb="FFFFFF00"/>
        <bgColor theme="6" tint="0.79998168889431442"/>
      </patternFill>
    </fill>
    <fill>
      <patternFill patternType="solid">
        <fgColor theme="2"/>
        <bgColor indexed="64"/>
      </patternFill>
    </fill>
    <fill>
      <patternFill patternType="solid">
        <fgColor rgb="FFFFFF99"/>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style="thin">
        <color theme="6"/>
      </left>
      <right/>
      <top style="thin">
        <color theme="6"/>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right style="thin">
        <color theme="4" tint="0.39997558519241921"/>
      </right>
      <top style="thin">
        <color theme="4" tint="0.39997558519241921"/>
      </top>
      <bottom style="thin">
        <color theme="4" tint="0.39997558519241921"/>
      </bottom>
      <diagonal/>
    </border>
    <border>
      <left style="thin">
        <color theme="6"/>
      </left>
      <right/>
      <top/>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6"/>
      </right>
      <top/>
      <bottom/>
      <diagonal/>
    </border>
    <border>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style="thin">
        <color theme="6"/>
      </right>
      <top/>
      <bottom style="thin">
        <color theme="6"/>
      </bottom>
      <diagonal/>
    </border>
    <border>
      <left style="thin">
        <color indexed="64"/>
      </left>
      <right/>
      <top/>
      <bottom style="medium">
        <color theme="4" tint="0.39997558519241921"/>
      </bottom>
      <diagonal/>
    </border>
    <border>
      <left/>
      <right/>
      <top/>
      <bottom style="thin">
        <color theme="6"/>
      </bottom>
      <diagonal/>
    </border>
    <border>
      <left/>
      <right style="thin">
        <color theme="6"/>
      </right>
      <top/>
      <bottom style="thick">
        <color theme="4"/>
      </bottom>
      <diagonal/>
    </border>
    <border>
      <left style="double">
        <color auto="1"/>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ck">
        <color theme="4"/>
      </bottom>
      <diagonal/>
    </border>
    <border>
      <left/>
      <right style="double">
        <color indexed="64"/>
      </right>
      <top style="double">
        <color indexed="64"/>
      </top>
      <bottom style="thick">
        <color theme="4"/>
      </bottom>
      <diagonal/>
    </border>
    <border>
      <left/>
      <right style="double">
        <color indexed="64"/>
      </right>
      <top/>
      <bottom style="thick">
        <color theme="4"/>
      </bottom>
      <diagonal/>
    </border>
    <border>
      <left style="double">
        <color indexed="64"/>
      </left>
      <right style="thin">
        <color indexed="64"/>
      </right>
      <top style="double">
        <color indexed="64"/>
      </top>
      <bottom style="thick">
        <color theme="4"/>
      </bottom>
      <diagonal/>
    </border>
    <border>
      <left style="double">
        <color indexed="64"/>
      </left>
      <right style="thin">
        <color indexed="64"/>
      </right>
      <top/>
      <bottom style="thick">
        <color theme="4"/>
      </bottom>
      <diagonal/>
    </border>
    <border>
      <left/>
      <right/>
      <top style="thin">
        <color theme="2" tint="-0.749961851863155"/>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20" fillId="0" borderId="23" applyNumberFormat="0" applyFill="0" applyAlignment="0" applyProtection="0"/>
  </cellStyleXfs>
  <cellXfs count="344">
    <xf numFmtId="0" fontId="0" fillId="0" borderId="0" xfId="0"/>
    <xf numFmtId="164" fontId="0" fillId="0" borderId="0" xfId="0" applyNumberFormat="1"/>
    <xf numFmtId="0" fontId="0" fillId="0" borderId="0" xfId="0" applyAlignment="1">
      <alignment vertical="center" wrapText="1"/>
    </xf>
    <xf numFmtId="9" fontId="0" fillId="0" borderId="0" xfId="0" applyNumberFormat="1"/>
    <xf numFmtId="0" fontId="0" fillId="2" borderId="0" xfId="0" applyFill="1"/>
    <xf numFmtId="165" fontId="0" fillId="2" borderId="0" xfId="0" applyNumberFormat="1" applyFill="1"/>
    <xf numFmtId="0" fontId="0" fillId="3" borderId="0" xfId="0" applyFill="1"/>
    <xf numFmtId="165" fontId="0" fillId="3" borderId="0" xfId="0" applyNumberFormat="1" applyFill="1"/>
    <xf numFmtId="0" fontId="0" fillId="2" borderId="0" xfId="0" applyNumberFormat="1" applyFill="1"/>
    <xf numFmtId="0" fontId="0" fillId="3" borderId="0" xfId="0" applyNumberFormat="1" applyFill="1"/>
    <xf numFmtId="0" fontId="4" fillId="0" borderId="0" xfId="0" applyFont="1" applyAlignment="1">
      <alignment vertical="center" wrapText="1"/>
    </xf>
    <xf numFmtId="165" fontId="0" fillId="0" borderId="0" xfId="0" applyNumberFormat="1" applyAlignment="1">
      <alignment vertical="center" wrapText="1"/>
    </xf>
    <xf numFmtId="0" fontId="5" fillId="0" borderId="0" xfId="3"/>
    <xf numFmtId="165" fontId="4" fillId="0" borderId="0" xfId="0" applyNumberFormat="1" applyFont="1" applyAlignment="1">
      <alignment vertical="center" wrapText="1"/>
    </xf>
    <xf numFmtId="165" fontId="0" fillId="0" borderId="0" xfId="0" applyNumberFormat="1"/>
    <xf numFmtId="165" fontId="0" fillId="4" borderId="0" xfId="0" applyNumberFormat="1" applyFill="1"/>
    <xf numFmtId="166" fontId="0" fillId="0" borderId="0" xfId="1" applyNumberFormat="1" applyFont="1"/>
    <xf numFmtId="167" fontId="4" fillId="0" borderId="0" xfId="0" applyNumberFormat="1" applyFont="1" applyAlignment="1">
      <alignment vertical="center" wrapText="1"/>
    </xf>
    <xf numFmtId="167" fontId="0" fillId="2" borderId="0" xfId="0" applyNumberFormat="1" applyFill="1"/>
    <xf numFmtId="167" fontId="0" fillId="3" borderId="0" xfId="0" applyNumberFormat="1" applyFill="1"/>
    <xf numFmtId="167" fontId="0" fillId="0" borderId="0" xfId="0" applyNumberFormat="1"/>
    <xf numFmtId="0" fontId="0" fillId="0" borderId="0" xfId="0" applyAlignment="1">
      <alignment vertical="center"/>
    </xf>
    <xf numFmtId="165" fontId="0" fillId="5" borderId="0" xfId="0" applyNumberFormat="1" applyFill="1"/>
    <xf numFmtId="167" fontId="0" fillId="5" borderId="0" xfId="0" applyNumberFormat="1" applyFill="1"/>
    <xf numFmtId="0" fontId="0" fillId="0" borderId="0" xfId="0" applyAlignment="1">
      <alignment horizontal="center" vertical="center" wrapText="1"/>
    </xf>
    <xf numFmtId="0" fontId="0" fillId="0" borderId="2" xfId="0" applyBorder="1"/>
    <xf numFmtId="0" fontId="0" fillId="0" borderId="0" xfId="0" applyAlignment="1">
      <alignment horizontal="center"/>
    </xf>
    <xf numFmtId="0" fontId="0" fillId="0" borderId="1" xfId="0" applyBorder="1"/>
    <xf numFmtId="0" fontId="0" fillId="0" borderId="0" xfId="0" applyBorder="1" applyAlignment="1">
      <alignment vertical="center" wrapText="1"/>
    </xf>
    <xf numFmtId="0" fontId="0" fillId="7" borderId="0" xfId="0" applyFill="1"/>
    <xf numFmtId="0" fontId="0" fillId="0" borderId="0" xfId="0" applyFill="1"/>
    <xf numFmtId="0" fontId="0" fillId="8" borderId="0" xfId="0" applyFill="1" applyAlignment="1">
      <alignment vertical="center" wrapText="1"/>
    </xf>
    <xf numFmtId="164" fontId="0" fillId="8" borderId="0" xfId="0" applyNumberFormat="1" applyFill="1" applyAlignment="1">
      <alignment vertical="center" wrapText="1"/>
    </xf>
    <xf numFmtId="0" fontId="0" fillId="9" borderId="3" xfId="0" applyFill="1" applyBorder="1"/>
    <xf numFmtId="0" fontId="0" fillId="3" borderId="2" xfId="0" applyFill="1" applyBorder="1"/>
    <xf numFmtId="9" fontId="0" fillId="0" borderId="2" xfId="4" applyFont="1" applyBorder="1"/>
    <xf numFmtId="164" fontId="0" fillId="0" borderId="2" xfId="0" applyNumberFormat="1" applyBorder="1"/>
    <xf numFmtId="164" fontId="0" fillId="0" borderId="2" xfId="2" applyNumberFormat="1" applyFont="1" applyBorder="1"/>
    <xf numFmtId="9" fontId="0" fillId="0" borderId="2" xfId="0" applyNumberFormat="1" applyBorder="1"/>
    <xf numFmtId="167" fontId="0" fillId="0" borderId="2" xfId="0" applyNumberFormat="1" applyBorder="1"/>
    <xf numFmtId="1" fontId="0" fillId="0" borderId="2" xfId="0" applyNumberFormat="1" applyBorder="1"/>
    <xf numFmtId="0" fontId="0" fillId="0" borderId="0" xfId="0" applyAlignment="1">
      <alignment vertical="top" wrapText="1"/>
    </xf>
    <xf numFmtId="2" fontId="0" fillId="0" borderId="0" xfId="0" applyNumberFormat="1"/>
    <xf numFmtId="0" fontId="0" fillId="10" borderId="0" xfId="0" applyFill="1" applyAlignment="1">
      <alignment vertical="center" wrapText="1"/>
    </xf>
    <xf numFmtId="0" fontId="0" fillId="0" borderId="0" xfId="0" applyAlignment="1">
      <alignment vertical="top"/>
    </xf>
    <xf numFmtId="0" fontId="0" fillId="0" borderId="0" xfId="0" applyAlignment="1">
      <alignment horizontal="left" vertical="top" wrapText="1"/>
    </xf>
    <xf numFmtId="0" fontId="0" fillId="5" borderId="0" xfId="0" applyFill="1"/>
    <xf numFmtId="165" fontId="0" fillId="0" borderId="2" xfId="0" applyNumberFormat="1" applyBorder="1"/>
    <xf numFmtId="166" fontId="0" fillId="0" borderId="2" xfId="1" applyNumberFormat="1" applyFont="1" applyBorder="1"/>
    <xf numFmtId="2" fontId="0" fillId="0" borderId="2" xfId="2" applyNumberFormat="1" applyFont="1" applyBorder="1"/>
    <xf numFmtId="2" fontId="0" fillId="0" borderId="0" xfId="0" applyNumberFormat="1" applyFill="1"/>
    <xf numFmtId="0" fontId="0" fillId="11" borderId="0" xfId="0" applyFill="1"/>
    <xf numFmtId="0" fontId="0" fillId="12" borderId="0" xfId="0" applyFill="1"/>
    <xf numFmtId="0" fontId="0" fillId="13" borderId="0" xfId="0" applyFill="1"/>
    <xf numFmtId="0" fontId="0" fillId="14" borderId="0" xfId="0" applyFill="1"/>
    <xf numFmtId="0" fontId="0" fillId="6" borderId="0" xfId="0" applyFill="1"/>
    <xf numFmtId="0" fontId="0" fillId="15" borderId="0" xfId="0" applyFill="1"/>
    <xf numFmtId="0" fontId="0" fillId="16" borderId="0" xfId="0" applyFill="1"/>
    <xf numFmtId="0" fontId="0" fillId="8"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9" fillId="0" borderId="0" xfId="0" applyFont="1" applyFill="1"/>
    <xf numFmtId="0" fontId="0" fillId="22" borderId="0" xfId="0" applyFill="1"/>
    <xf numFmtId="0" fontId="0" fillId="0" borderId="0" xfId="0" applyAlignment="1">
      <alignment horizontal="left" vertical="top" wrapText="1"/>
    </xf>
    <xf numFmtId="0" fontId="0" fillId="0" borderId="0" xfId="0" applyAlignment="1">
      <alignment horizontal="left" vertical="top"/>
    </xf>
    <xf numFmtId="168" fontId="0" fillId="0" borderId="0" xfId="0" applyNumberFormat="1"/>
    <xf numFmtId="167" fontId="0" fillId="0" borderId="2" xfId="2" applyNumberFormat="1" applyFont="1" applyBorder="1"/>
    <xf numFmtId="0" fontId="0" fillId="0" borderId="2" xfId="0" applyBorder="1" applyAlignment="1">
      <alignment vertical="top" wrapText="1"/>
    </xf>
    <xf numFmtId="167" fontId="0" fillId="0" borderId="2" xfId="0" applyNumberFormat="1" applyBorder="1" applyAlignment="1">
      <alignment vertical="top" wrapText="1"/>
    </xf>
    <xf numFmtId="167" fontId="0" fillId="0" borderId="2" xfId="0" applyNumberFormat="1" applyBorder="1" applyAlignment="1">
      <alignment vertical="center"/>
    </xf>
    <xf numFmtId="167" fontId="0" fillId="0" borderId="2" xfId="0" applyNumberFormat="1" applyBorder="1" applyAlignment="1">
      <alignment horizontal="center" vertical="center" wrapText="1"/>
    </xf>
    <xf numFmtId="0" fontId="0" fillId="9" borderId="2" xfId="0" applyFill="1" applyBorder="1" applyAlignment="1">
      <alignment horizontal="left" vertical="top"/>
    </xf>
    <xf numFmtId="0" fontId="0" fillId="9" borderId="2" xfId="0" applyFill="1" applyBorder="1" applyAlignment="1">
      <alignment vertical="top" wrapText="1"/>
    </xf>
    <xf numFmtId="0" fontId="0" fillId="9" borderId="2" xfId="0" applyFill="1" applyBorder="1" applyAlignment="1">
      <alignment vertical="top"/>
    </xf>
    <xf numFmtId="0" fontId="0" fillId="0" borderId="0" xfId="0" applyBorder="1" applyAlignment="1">
      <alignment vertical="top"/>
    </xf>
    <xf numFmtId="0" fontId="0" fillId="0" borderId="0" xfId="0" applyBorder="1" applyAlignment="1">
      <alignment vertical="top" wrapText="1"/>
    </xf>
    <xf numFmtId="0" fontId="0" fillId="9" borderId="2" xfId="0" applyFill="1" applyBorder="1" applyAlignment="1">
      <alignment vertical="center" wrapText="1"/>
    </xf>
    <xf numFmtId="165" fontId="0" fillId="0" borderId="2" xfId="0" applyNumberFormat="1" applyFill="1" applyBorder="1" applyAlignment="1">
      <alignment horizontal="center" vertical="center" wrapText="1"/>
    </xf>
    <xf numFmtId="165" fontId="0" fillId="0" borderId="2" xfId="0" applyNumberFormat="1" applyBorder="1" applyAlignment="1">
      <alignment vertical="center" wrapText="1"/>
    </xf>
    <xf numFmtId="0" fontId="0" fillId="0" borderId="2" xfId="0" applyFill="1" applyBorder="1"/>
    <xf numFmtId="0" fontId="0" fillId="9" borderId="2" xfId="0" applyFill="1" applyBorder="1" applyAlignment="1">
      <alignment horizontal="left" vertical="top" wrapText="1"/>
    </xf>
    <xf numFmtId="0" fontId="0" fillId="0" borderId="0" xfId="0" applyAlignment="1">
      <alignment wrapText="1"/>
    </xf>
    <xf numFmtId="167" fontId="0" fillId="4" borderId="0" xfId="0" applyNumberFormat="1" applyFill="1"/>
    <xf numFmtId="0" fontId="8" fillId="0" borderId="0" xfId="0" applyFont="1"/>
    <xf numFmtId="0" fontId="0" fillId="0" borderId="2" xfId="0" applyBorder="1" applyAlignment="1">
      <alignment horizontal="left" vertical="top" wrapText="1"/>
    </xf>
    <xf numFmtId="167" fontId="0" fillId="3" borderId="2" xfId="0" applyNumberFormat="1" applyFill="1" applyBorder="1"/>
    <xf numFmtId="169" fontId="0" fillId="0" borderId="2" xfId="0" applyNumberFormat="1" applyBorder="1"/>
    <xf numFmtId="165" fontId="0" fillId="0" borderId="0" xfId="0" applyNumberFormat="1" applyAlignment="1">
      <alignment vertical="top" wrapText="1"/>
    </xf>
    <xf numFmtId="0" fontId="0" fillId="24" borderId="2" xfId="0" applyFill="1" applyBorder="1"/>
    <xf numFmtId="0" fontId="0" fillId="24" borderId="2" xfId="0" applyFill="1" applyBorder="1" applyAlignment="1">
      <alignment vertical="top"/>
    </xf>
    <xf numFmtId="0" fontId="0" fillId="0" borderId="2" xfId="0" applyBorder="1" applyAlignment="1">
      <alignment vertical="center" wrapText="1"/>
    </xf>
    <xf numFmtId="0" fontId="0" fillId="0" borderId="2" xfId="0" applyFill="1" applyBorder="1" applyAlignment="1">
      <alignment vertical="center" wrapText="1"/>
    </xf>
    <xf numFmtId="167" fontId="0" fillId="3" borderId="2" xfId="2" applyNumberFormat="1" applyFont="1" applyFill="1" applyBorder="1"/>
    <xf numFmtId="167" fontId="0" fillId="0" borderId="1" xfId="2" applyNumberFormat="1" applyFont="1" applyBorder="1"/>
    <xf numFmtId="170" fontId="0" fillId="0" borderId="0" xfId="0" applyNumberFormat="1" applyBorder="1" applyAlignment="1">
      <alignment vertical="top"/>
    </xf>
    <xf numFmtId="165" fontId="0" fillId="3" borderId="2" xfId="0" applyNumberFormat="1" applyFill="1" applyBorder="1"/>
    <xf numFmtId="0" fontId="0" fillId="3" borderId="2" xfId="0" applyFill="1" applyBorder="1" applyAlignment="1">
      <alignment vertical="top"/>
    </xf>
    <xf numFmtId="2" fontId="0" fillId="3" borderId="2" xfId="0" applyNumberFormat="1" applyFill="1" applyBorder="1" applyAlignment="1">
      <alignment vertical="top"/>
    </xf>
    <xf numFmtId="1" fontId="0" fillId="0" borderId="0" xfId="0" applyNumberFormat="1"/>
    <xf numFmtId="0" fontId="0" fillId="25" borderId="5" xfId="0" applyFill="1" applyBorder="1" applyAlignment="1">
      <alignment horizontal="left" vertical="top" wrapText="1"/>
    </xf>
    <xf numFmtId="0" fontId="0" fillId="25" borderId="5" xfId="0" applyFill="1" applyBorder="1"/>
    <xf numFmtId="0" fontId="0" fillId="4" borderId="9" xfId="0" applyFill="1" applyBorder="1"/>
    <xf numFmtId="0" fontId="0" fillId="4" borderId="0" xfId="0" applyFill="1"/>
    <xf numFmtId="0" fontId="0" fillId="4" borderId="2" xfId="0" applyFill="1" applyBorder="1"/>
    <xf numFmtId="167" fontId="0" fillId="4" borderId="2" xfId="0" applyNumberFormat="1" applyFill="1" applyBorder="1"/>
    <xf numFmtId="0" fontId="0" fillId="5" borderId="2" xfId="0" applyFill="1" applyBorder="1"/>
    <xf numFmtId="167" fontId="0" fillId="5" borderId="2" xfId="0" applyNumberFormat="1" applyFill="1" applyBorder="1"/>
    <xf numFmtId="9" fontId="0" fillId="4" borderId="0" xfId="0" applyNumberFormat="1" applyFill="1"/>
    <xf numFmtId="0" fontId="0" fillId="26" borderId="0" xfId="0" applyFill="1"/>
    <xf numFmtId="2" fontId="0" fillId="26" borderId="0" xfId="0" applyNumberFormat="1" applyFill="1"/>
    <xf numFmtId="0" fontId="0" fillId="0" borderId="0" xfId="0" applyFont="1"/>
    <xf numFmtId="6" fontId="0" fillId="0" borderId="0" xfId="0" applyNumberFormat="1"/>
    <xf numFmtId="0" fontId="0" fillId="0" borderId="0" xfId="0" applyNumberFormat="1"/>
    <xf numFmtId="0" fontId="8" fillId="29" borderId="2" xfId="0" applyFont="1" applyFill="1" applyBorder="1" applyAlignment="1">
      <alignment horizontal="center" vertical="center"/>
    </xf>
    <xf numFmtId="0" fontId="0" fillId="0" borderId="0" xfId="0"/>
    <xf numFmtId="0" fontId="0" fillId="0" borderId="0" xfId="0"/>
    <xf numFmtId="0" fontId="0" fillId="31"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3" borderId="13" xfId="0" applyFont="1" applyFill="1" applyBorder="1"/>
    <xf numFmtId="0" fontId="0" fillId="0" borderId="13" xfId="0" applyFont="1" applyBorder="1"/>
    <xf numFmtId="0" fontId="0" fillId="0" borderId="0" xfId="0"/>
    <xf numFmtId="0" fontId="0" fillId="0" borderId="0" xfId="0"/>
    <xf numFmtId="0" fontId="17" fillId="0" borderId="13" xfId="0" applyFont="1" applyBorder="1"/>
    <xf numFmtId="0" fontId="17" fillId="33" borderId="13" xfId="0" applyFont="1" applyFill="1" applyBorder="1"/>
    <xf numFmtId="0" fontId="17" fillId="0" borderId="16" xfId="0" applyFont="1" applyBorder="1"/>
    <xf numFmtId="0" fontId="0" fillId="33" borderId="18" xfId="0" applyFont="1" applyFill="1" applyBorder="1"/>
    <xf numFmtId="0" fontId="0" fillId="33" borderId="19" xfId="0" applyFont="1" applyFill="1" applyBorder="1"/>
    <xf numFmtId="0" fontId="0" fillId="0" borderId="19" xfId="0" applyFont="1" applyBorder="1"/>
    <xf numFmtId="0" fontId="16" fillId="32" borderId="16" xfId="0" applyFont="1" applyFill="1" applyBorder="1"/>
    <xf numFmtId="0" fontId="16" fillId="32" borderId="0" xfId="0" applyFont="1" applyFill="1" applyBorder="1"/>
    <xf numFmtId="0" fontId="16" fillId="32" borderId="20" xfId="0" applyFont="1" applyFill="1" applyBorder="1"/>
    <xf numFmtId="0" fontId="17" fillId="33" borderId="18" xfId="0" applyFont="1" applyFill="1" applyBorder="1"/>
    <xf numFmtId="0" fontId="17" fillId="33" borderId="0" xfId="0" applyFont="1" applyFill="1" applyBorder="1"/>
    <xf numFmtId="0" fontId="17" fillId="0" borderId="19" xfId="0" applyFont="1" applyBorder="1"/>
    <xf numFmtId="0" fontId="17" fillId="0" borderId="20" xfId="0" applyFont="1" applyBorder="1"/>
    <xf numFmtId="0" fontId="17" fillId="33" borderId="19" xfId="0" applyFont="1" applyFill="1" applyBorder="1"/>
    <xf numFmtId="0" fontId="17" fillId="33" borderId="14" xfId="0" applyFont="1" applyFill="1" applyBorder="1"/>
    <xf numFmtId="0" fontId="17" fillId="33" borderId="15" xfId="0" applyFont="1" applyFill="1" applyBorder="1"/>
    <xf numFmtId="0" fontId="17" fillId="33" borderId="17" xfId="0" applyFont="1" applyFill="1" applyBorder="1"/>
    <xf numFmtId="0" fontId="0" fillId="0" borderId="0" xfId="0"/>
    <xf numFmtId="0" fontId="0" fillId="35" borderId="0" xfId="0" applyFill="1"/>
    <xf numFmtId="0" fontId="0" fillId="33" borderId="14" xfId="0" applyFont="1" applyFill="1" applyBorder="1"/>
    <xf numFmtId="0" fontId="0" fillId="33" borderId="21" xfId="0" applyFont="1" applyFill="1" applyBorder="1"/>
    <xf numFmtId="0" fontId="12" fillId="0" borderId="0" xfId="6" applyBorder="1" applyAlignment="1">
      <alignment vertical="center"/>
    </xf>
    <xf numFmtId="0" fontId="12" fillId="0" borderId="0" xfId="6" applyBorder="1" applyAlignment="1"/>
    <xf numFmtId="0" fontId="13" fillId="0" borderId="0" xfId="7" applyBorder="1" applyAlignment="1">
      <alignment wrapText="1"/>
    </xf>
    <xf numFmtId="0" fontId="13" fillId="0" borderId="0" xfId="7" applyBorder="1" applyAlignment="1"/>
    <xf numFmtId="164" fontId="0" fillId="0" borderId="0" xfId="2" applyNumberFormat="1" applyFont="1" applyAlignment="1">
      <alignment vertical="center"/>
    </xf>
    <xf numFmtId="164" fontId="0" fillId="31" borderId="0" xfId="0" applyNumberFormat="1" applyFill="1"/>
    <xf numFmtId="0" fontId="0" fillId="0" borderId="0" xfId="0" applyAlignment="1">
      <alignment horizontal="left" vertical="top"/>
    </xf>
    <xf numFmtId="8" fontId="0" fillId="0" borderId="0" xfId="0" applyNumberFormat="1"/>
    <xf numFmtId="0" fontId="0" fillId="0" borderId="0" xfId="0" applyBorder="1"/>
    <xf numFmtId="164" fontId="0" fillId="0" borderId="0" xfId="2" applyNumberFormat="1" applyFont="1" applyBorder="1" applyAlignment="1">
      <alignment vertical="center" wrapText="1"/>
    </xf>
    <xf numFmtId="0" fontId="0" fillId="0" borderId="7" xfId="0" applyBorder="1"/>
    <xf numFmtId="0" fontId="0" fillId="0" borderId="35" xfId="0" applyBorder="1"/>
    <xf numFmtId="0" fontId="0" fillId="0" borderId="36" xfId="0" applyBorder="1"/>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6" fontId="0" fillId="38" borderId="2" xfId="0" applyNumberFormat="1" applyFill="1" applyBorder="1" applyAlignment="1">
      <alignment horizontal="center" vertical="center"/>
    </xf>
    <xf numFmtId="0" fontId="0" fillId="0" borderId="0" xfId="0" applyAlignment="1" applyProtection="1">
      <alignment horizontal="center" vertical="center" wrapText="1"/>
      <protection hidden="1"/>
    </xf>
    <xf numFmtId="0" fontId="0" fillId="0" borderId="0" xfId="0" applyProtection="1">
      <protection hidden="1"/>
    </xf>
    <xf numFmtId="164" fontId="0" fillId="0" borderId="0" xfId="2" applyNumberFormat="1" applyFont="1" applyProtection="1">
      <protection hidden="1"/>
    </xf>
    <xf numFmtId="0" fontId="0" fillId="3" borderId="0" xfId="0" applyFill="1" applyProtection="1">
      <protection hidden="1"/>
    </xf>
    <xf numFmtId="164" fontId="0" fillId="3" borderId="0" xfId="0" applyNumberFormat="1" applyFill="1" applyProtection="1">
      <protection hidden="1"/>
    </xf>
    <xf numFmtId="165" fontId="0" fillId="0" borderId="0" xfId="0" applyNumberFormat="1" applyProtection="1">
      <protection hidden="1"/>
    </xf>
    <xf numFmtId="166" fontId="0" fillId="0" borderId="0" xfId="1" applyNumberFormat="1" applyFont="1" applyProtection="1">
      <protection hidden="1"/>
    </xf>
    <xf numFmtId="0" fontId="0" fillId="0" borderId="0" xfId="0" applyAlignment="1" applyProtection="1">
      <alignment vertical="center"/>
      <protection hidden="1"/>
    </xf>
    <xf numFmtId="167" fontId="0" fillId="0" borderId="0" xfId="2" applyNumberFormat="1" applyFont="1" applyProtection="1">
      <protection hidden="1"/>
    </xf>
    <xf numFmtId="167" fontId="0" fillId="0" borderId="0" xfId="0" applyNumberFormat="1" applyProtection="1">
      <protection hidden="1"/>
    </xf>
    <xf numFmtId="164" fontId="0" fillId="0" borderId="0" xfId="0" applyNumberFormat="1" applyProtection="1">
      <protection hidden="1"/>
    </xf>
    <xf numFmtId="0" fontId="0" fillId="27" borderId="0" xfId="0" applyFill="1" applyAlignment="1" applyProtection="1">
      <alignment vertical="center" wrapText="1"/>
      <protection hidden="1"/>
    </xf>
    <xf numFmtId="0" fontId="0" fillId="8" borderId="0" xfId="0" applyFill="1" applyAlignment="1" applyProtection="1">
      <alignment vertical="center" wrapText="1"/>
      <protection hidden="1"/>
    </xf>
    <xf numFmtId="164" fontId="0" fillId="27" borderId="0" xfId="0" applyNumberFormat="1" applyFill="1" applyAlignment="1" applyProtection="1">
      <alignment vertical="center" wrapText="1"/>
      <protection hidden="1"/>
    </xf>
    <xf numFmtId="164" fontId="0" fillId="8" borderId="0" xfId="0" applyNumberFormat="1" applyFill="1" applyAlignment="1" applyProtection="1">
      <alignment vertical="center" wrapText="1"/>
      <protection hidden="1"/>
    </xf>
    <xf numFmtId="0" fontId="0" fillId="0" borderId="0" xfId="0" applyAlignment="1" applyProtection="1">
      <alignment vertical="center" wrapText="1"/>
      <protection hidden="1"/>
    </xf>
    <xf numFmtId="0" fontId="0" fillId="10" borderId="0" xfId="0" applyFill="1" applyAlignment="1" applyProtection="1">
      <alignment vertical="center" wrapText="1"/>
      <protection hidden="1"/>
    </xf>
    <xf numFmtId="6" fontId="0" fillId="0" borderId="0" xfId="0" applyNumberFormat="1" applyProtection="1">
      <protection hidden="1"/>
    </xf>
    <xf numFmtId="0" fontId="0" fillId="9" borderId="2" xfId="0" applyFill="1" applyBorder="1" applyAlignment="1" applyProtection="1">
      <alignment vertical="center" wrapText="1"/>
      <protection hidden="1"/>
    </xf>
    <xf numFmtId="0" fontId="0" fillId="6" borderId="2" xfId="0" applyFill="1" applyBorder="1" applyAlignment="1" applyProtection="1">
      <alignment vertical="center" wrapText="1"/>
      <protection hidden="1"/>
    </xf>
    <xf numFmtId="0" fontId="0" fillId="6" borderId="2" xfId="0" applyFill="1" applyBorder="1" applyAlignment="1" applyProtection="1">
      <alignment vertical="top" wrapText="1"/>
      <protection hidden="1"/>
    </xf>
    <xf numFmtId="0" fontId="0" fillId="23" borderId="2" xfId="0" applyFill="1" applyBorder="1" applyProtection="1">
      <protection hidden="1"/>
    </xf>
    <xf numFmtId="0" fontId="0" fillId="7" borderId="2" xfId="0" applyFill="1" applyBorder="1" applyProtection="1">
      <protection hidden="1"/>
    </xf>
    <xf numFmtId="167" fontId="0" fillId="0" borderId="0" xfId="2" applyNumberFormat="1" applyFont="1" applyAlignment="1" applyProtection="1">
      <alignment vertical="center" wrapText="1"/>
      <protection hidden="1"/>
    </xf>
    <xf numFmtId="0" fontId="0" fillId="23" borderId="2" xfId="0" applyFill="1" applyBorder="1" applyAlignment="1" applyProtection="1">
      <alignment vertical="center" wrapText="1"/>
      <protection hidden="1"/>
    </xf>
    <xf numFmtId="0" fontId="0" fillId="7" borderId="2" xfId="0" applyFill="1" applyBorder="1" applyAlignment="1" applyProtection="1">
      <alignment vertical="center" wrapText="1"/>
      <protection hidden="1"/>
    </xf>
    <xf numFmtId="6" fontId="0" fillId="38" borderId="2" xfId="0" applyNumberFormat="1" applyFill="1" applyBorder="1" applyAlignment="1">
      <alignment horizontal="center" vertical="center" shrinkToFit="1"/>
    </xf>
    <xf numFmtId="164" fontId="0" fillId="4" borderId="0" xfId="0" applyNumberFormat="1" applyFill="1"/>
    <xf numFmtId="164" fontId="0" fillId="4" borderId="0" xfId="2" applyNumberFormat="1" applyFont="1" applyFill="1" applyAlignment="1">
      <alignment vertical="center"/>
    </xf>
    <xf numFmtId="0" fontId="0" fillId="4" borderId="0" xfId="0" applyFill="1" applyAlignment="1">
      <alignment vertical="center" wrapText="1"/>
    </xf>
    <xf numFmtId="0" fontId="0" fillId="0" borderId="0" xfId="0" applyAlignment="1" applyProtection="1">
      <alignment horizontal="center" vertical="center" wrapText="1"/>
      <protection hidden="1"/>
    </xf>
    <xf numFmtId="167" fontId="0" fillId="19" borderId="0" xfId="0" applyNumberFormat="1" applyFill="1"/>
    <xf numFmtId="0" fontId="25" fillId="0" borderId="2" xfId="0" applyFont="1" applyBorder="1" applyAlignment="1">
      <alignment horizontal="right" vertical="center" wrapText="1"/>
    </xf>
    <xf numFmtId="167" fontId="0" fillId="0" borderId="0" xfId="0" applyNumberFormat="1" applyBorder="1" applyAlignment="1">
      <alignment vertical="top" wrapText="1"/>
    </xf>
    <xf numFmtId="0" fontId="8" fillId="28" borderId="2" xfId="0" applyFont="1" applyFill="1" applyBorder="1"/>
    <xf numFmtId="0" fontId="18" fillId="39" borderId="2" xfId="0" applyFont="1" applyFill="1" applyBorder="1" applyAlignment="1" applyProtection="1">
      <alignment horizontal="right"/>
      <protection locked="0"/>
    </xf>
    <xf numFmtId="0" fontId="0" fillId="39" borderId="2" xfId="0" applyFont="1" applyFill="1" applyBorder="1" applyAlignment="1" applyProtection="1">
      <alignment horizontal="right"/>
      <protection locked="0"/>
    </xf>
    <xf numFmtId="0" fontId="8" fillId="0" borderId="2" xfId="0" applyFont="1" applyBorder="1"/>
    <xf numFmtId="0" fontId="0" fillId="40" borderId="2" xfId="0" applyFont="1" applyFill="1" applyBorder="1" applyAlignment="1" applyProtection="1">
      <alignment horizontal="right"/>
      <protection locked="0"/>
    </xf>
    <xf numFmtId="0" fontId="8" fillId="0" borderId="2" xfId="0" applyFont="1" applyBorder="1" applyAlignment="1">
      <alignment horizontal="center" vertical="center"/>
    </xf>
    <xf numFmtId="0" fontId="8" fillId="43" borderId="2" xfId="0" applyFont="1" applyFill="1" applyBorder="1"/>
    <xf numFmtId="0" fontId="21" fillId="39" borderId="2" xfId="0" applyFont="1" applyFill="1" applyBorder="1" applyAlignment="1" applyProtection="1">
      <alignment horizontal="right"/>
      <protection locked="0"/>
    </xf>
    <xf numFmtId="0" fontId="21" fillId="40" borderId="2" xfId="0" applyFont="1" applyFill="1" applyBorder="1" applyAlignment="1" applyProtection="1">
      <alignment horizontal="right"/>
      <protection locked="0"/>
    </xf>
    <xf numFmtId="0" fontId="8" fillId="0" borderId="2" xfId="0" applyFont="1" applyBorder="1" applyAlignment="1">
      <alignment horizontal="center"/>
    </xf>
    <xf numFmtId="0" fontId="8" fillId="34" borderId="2" xfId="0" applyFont="1" applyFill="1" applyBorder="1"/>
    <xf numFmtId="0" fontId="21" fillId="41" borderId="2" xfId="0" applyFont="1" applyFill="1" applyBorder="1" applyAlignment="1" applyProtection="1">
      <alignment horizontal="right"/>
      <protection locked="0"/>
    </xf>
    <xf numFmtId="0" fontId="8" fillId="30" borderId="2" xfId="0" applyFont="1" applyFill="1" applyBorder="1"/>
    <xf numFmtId="9" fontId="21" fillId="39" borderId="2" xfId="0" applyNumberFormat="1" applyFont="1" applyFill="1" applyBorder="1" applyAlignment="1" applyProtection="1">
      <alignment horizontal="right"/>
      <protection locked="0"/>
    </xf>
    <xf numFmtId="0" fontId="8" fillId="0" borderId="2" xfId="0" applyFont="1" applyBorder="1" applyAlignment="1">
      <alignment horizontal="right"/>
    </xf>
    <xf numFmtId="9" fontId="21" fillId="42" borderId="2" xfId="4" applyNumberFormat="1" applyFont="1" applyFill="1" applyBorder="1" applyProtection="1">
      <protection locked="0"/>
    </xf>
    <xf numFmtId="9" fontId="21" fillId="30" borderId="2" xfId="4" applyNumberFormat="1" applyFont="1" applyFill="1" applyBorder="1"/>
    <xf numFmtId="172" fontId="21" fillId="40" borderId="2" xfId="2" applyNumberFormat="1" applyFont="1" applyFill="1" applyBorder="1" applyProtection="1">
      <protection locked="0"/>
    </xf>
    <xf numFmtId="172" fontId="21" fillId="0" borderId="2" xfId="2" applyNumberFormat="1" applyFont="1" applyBorder="1"/>
    <xf numFmtId="167" fontId="21" fillId="0" borderId="2" xfId="2" applyNumberFormat="1" applyFont="1" applyBorder="1"/>
    <xf numFmtId="167" fontId="21" fillId="30" borderId="2" xfId="2" applyNumberFormat="1" applyFont="1" applyFill="1" applyBorder="1"/>
    <xf numFmtId="0" fontId="29" fillId="37" borderId="2" xfId="0" applyFont="1" applyFill="1" applyBorder="1"/>
    <xf numFmtId="0" fontId="29" fillId="0" borderId="2" xfId="0" applyFont="1" applyFill="1" applyBorder="1"/>
    <xf numFmtId="0" fontId="20" fillId="0" borderId="2" xfId="8" applyBorder="1" applyAlignment="1">
      <alignment horizontal="center" vertical="center"/>
    </xf>
    <xf numFmtId="0" fontId="25" fillId="0" borderId="2" xfId="0" applyFont="1" applyBorder="1" applyAlignment="1">
      <alignment horizontal="right"/>
    </xf>
    <xf numFmtId="0" fontId="0" fillId="0" borderId="2" xfId="0" applyBorder="1" applyAlignment="1">
      <alignment horizontal="center" vertical="center"/>
    </xf>
    <xf numFmtId="38" fontId="0" fillId="0" borderId="2" xfId="0" applyNumberFormat="1" applyBorder="1" applyAlignment="1">
      <alignment horizontal="center" vertical="center"/>
    </xf>
    <xf numFmtId="0" fontId="25" fillId="38" borderId="2" xfId="0" applyFont="1" applyFill="1" applyBorder="1" applyAlignment="1">
      <alignment horizontal="right" vertical="center"/>
    </xf>
    <xf numFmtId="6" fontId="0" fillId="0" borderId="2" xfId="0" applyNumberFormat="1" applyBorder="1" applyAlignment="1">
      <alignment horizontal="center" vertical="center" shrinkToFit="1"/>
    </xf>
    <xf numFmtId="0" fontId="26" fillId="38" borderId="2" xfId="0" applyFont="1" applyFill="1" applyBorder="1" applyAlignment="1">
      <alignment horizontal="right" vertical="center" wrapText="1"/>
    </xf>
    <xf numFmtId="6" fontId="26" fillId="38" borderId="2" xfId="0" applyNumberFormat="1" applyFont="1" applyFill="1" applyBorder="1" applyAlignment="1">
      <alignment horizontal="center" vertical="center" shrinkToFit="1"/>
    </xf>
    <xf numFmtId="0" fontId="25" fillId="31" borderId="2" xfId="0" applyFont="1" applyFill="1" applyBorder="1" applyAlignment="1">
      <alignment horizontal="right" vertical="center"/>
    </xf>
    <xf numFmtId="6" fontId="0" fillId="0" borderId="2" xfId="0" applyNumberFormat="1" applyBorder="1" applyAlignment="1">
      <alignment horizontal="center" vertical="center"/>
    </xf>
    <xf numFmtId="3" fontId="26" fillId="38" borderId="2" xfId="0" applyNumberFormat="1" applyFont="1" applyFill="1" applyBorder="1" applyAlignment="1">
      <alignment horizontal="center" vertical="center"/>
    </xf>
    <xf numFmtId="0" fontId="25" fillId="0" borderId="2" xfId="0" applyFont="1" applyBorder="1" applyAlignment="1">
      <alignment horizontal="right" vertical="center"/>
    </xf>
    <xf numFmtId="0" fontId="20" fillId="0" borderId="2" xfId="8" applyBorder="1" applyAlignment="1">
      <alignment horizontal="center" vertical="center" wrapText="1"/>
    </xf>
    <xf numFmtId="0" fontId="0" fillId="0" borderId="2" xfId="0" applyFont="1" applyBorder="1" applyAlignment="1">
      <alignment horizontal="center" vertical="center" wrapText="1"/>
    </xf>
    <xf numFmtId="38" fontId="0" fillId="44" borderId="2" xfId="0" applyNumberFormat="1" applyFont="1" applyFill="1" applyBorder="1" applyAlignment="1">
      <alignment horizontal="center" vertical="center" wrapText="1"/>
    </xf>
    <xf numFmtId="6" fontId="0" fillId="31" borderId="2" xfId="0" applyNumberFormat="1" applyFill="1" applyBorder="1" applyAlignment="1">
      <alignment horizontal="center" vertical="center" shrinkToFit="1"/>
    </xf>
    <xf numFmtId="6" fontId="9" fillId="31" borderId="2" xfId="0" applyNumberFormat="1" applyFont="1" applyFill="1" applyBorder="1" applyAlignment="1">
      <alignment horizontal="center" vertical="center" shrinkToFit="1"/>
    </xf>
    <xf numFmtId="6" fontId="0" fillId="31" borderId="2" xfId="0" applyNumberFormat="1" applyFont="1" applyFill="1" applyBorder="1" applyAlignment="1">
      <alignment horizontal="center" vertical="center" shrinkToFit="1"/>
    </xf>
    <xf numFmtId="6" fontId="0" fillId="44" borderId="2" xfId="0" applyNumberFormat="1" applyFill="1" applyBorder="1" applyAlignment="1">
      <alignment horizontal="center" vertical="center" shrinkToFit="1"/>
    </xf>
    <xf numFmtId="6" fontId="9" fillId="44" borderId="2" xfId="0" applyNumberFormat="1" applyFont="1" applyFill="1" applyBorder="1" applyAlignment="1">
      <alignment horizontal="center" vertical="center" shrinkToFit="1"/>
    </xf>
    <xf numFmtId="6" fontId="26" fillId="31" borderId="2" xfId="0" applyNumberFormat="1" applyFont="1" applyFill="1" applyBorder="1" applyAlignment="1">
      <alignment horizontal="center" vertical="center" shrinkToFit="1"/>
    </xf>
    <xf numFmtId="6" fontId="0" fillId="0" borderId="2" xfId="0" applyNumberFormat="1" applyFill="1" applyBorder="1" applyAlignment="1">
      <alignment horizontal="center" vertical="center"/>
    </xf>
    <xf numFmtId="6" fontId="0" fillId="0" borderId="2" xfId="0" applyNumberFormat="1" applyFill="1" applyBorder="1" applyAlignment="1">
      <alignment horizontal="center" vertical="center" shrinkToFit="1"/>
    </xf>
    <xf numFmtId="38" fontId="26" fillId="44" borderId="2" xfId="0" applyNumberFormat="1" applyFont="1" applyFill="1" applyBorder="1" applyAlignment="1">
      <alignment horizontal="center" vertical="center" shrinkToFit="1"/>
    </xf>
    <xf numFmtId="172" fontId="21" fillId="0" borderId="0" xfId="2" applyNumberFormat="1" applyFont="1" applyFill="1" applyBorder="1" applyProtection="1">
      <protection locked="0"/>
    </xf>
    <xf numFmtId="0" fontId="0" fillId="4" borderId="1" xfId="0" applyFill="1" applyBorder="1"/>
    <xf numFmtId="9" fontId="1" fillId="42" borderId="1" xfId="4" applyNumberFormat="1" applyFont="1" applyFill="1" applyBorder="1" applyProtection="1">
      <protection locked="0"/>
    </xf>
    <xf numFmtId="0" fontId="21" fillId="43" borderId="2" xfId="0" applyFont="1" applyFill="1" applyBorder="1" applyAlignment="1" applyProtection="1">
      <alignment horizontal="right"/>
      <protection locked="0"/>
    </xf>
    <xf numFmtId="0" fontId="8" fillId="45" borderId="2" xfId="0" applyFont="1" applyFill="1" applyBorder="1"/>
    <xf numFmtId="0" fontId="21" fillId="45" borderId="2" xfId="0" applyFont="1" applyFill="1" applyBorder="1" applyAlignment="1" applyProtection="1">
      <alignment horizontal="right"/>
      <protection locked="0"/>
    </xf>
    <xf numFmtId="0" fontId="25" fillId="0" borderId="2" xfId="0" applyFont="1" applyFill="1" applyBorder="1" applyAlignment="1">
      <alignment horizontal="right" vertical="center"/>
    </xf>
    <xf numFmtId="0" fontId="0" fillId="0" borderId="2" xfId="0" applyBorder="1" applyAlignment="1">
      <alignment horizontal="center" vertical="center" wrapText="1"/>
    </xf>
    <xf numFmtId="0" fontId="12" fillId="0" borderId="2" xfId="6" applyBorder="1" applyAlignment="1">
      <alignment horizontal="center" vertical="center"/>
    </xf>
    <xf numFmtId="0" fontId="25" fillId="44" borderId="2" xfId="0" applyFont="1" applyFill="1" applyBorder="1" applyAlignment="1">
      <alignment horizontal="right" vertical="center" wrapText="1"/>
    </xf>
    <xf numFmtId="0" fontId="25" fillId="0" borderId="2" xfId="0" applyFont="1" applyBorder="1" applyAlignment="1">
      <alignment horizontal="right" vertical="center"/>
    </xf>
    <xf numFmtId="0" fontId="25" fillId="44" borderId="2" xfId="0" applyFont="1" applyFill="1" applyBorder="1" applyAlignment="1">
      <alignment horizontal="right" vertical="center"/>
    </xf>
    <xf numFmtId="0" fontId="26" fillId="44" borderId="2" xfId="0" applyFont="1" applyFill="1" applyBorder="1" applyAlignment="1">
      <alignment horizontal="right" vertical="center" wrapText="1"/>
    </xf>
    <xf numFmtId="0" fontId="8" fillId="29" borderId="2" xfId="0" applyFont="1" applyFill="1" applyBorder="1" applyAlignment="1">
      <alignment horizontal="center" vertical="center"/>
    </xf>
    <xf numFmtId="0" fontId="25" fillId="0" borderId="2" xfId="0" applyFont="1" applyFill="1" applyBorder="1" applyAlignment="1">
      <alignment horizontal="right" vertical="center"/>
    </xf>
    <xf numFmtId="0" fontId="12" fillId="0" borderId="42" xfId="6" applyBorder="1" applyAlignment="1">
      <alignment horizontal="center" vertical="center"/>
    </xf>
    <xf numFmtId="0" fontId="12" fillId="0" borderId="43" xfId="6" applyBorder="1" applyAlignment="1">
      <alignment horizontal="center" vertical="center"/>
    </xf>
    <xf numFmtId="0" fontId="12" fillId="0" borderId="10" xfId="6" applyBorder="1" applyAlignment="1">
      <alignment horizontal="center" vertical="center"/>
    </xf>
    <xf numFmtId="0" fontId="12" fillId="0" borderId="44" xfId="6" applyBorder="1" applyAlignment="1">
      <alignment horizontal="center" vertical="center"/>
    </xf>
    <xf numFmtId="0" fontId="21" fillId="39" borderId="2" xfId="0" applyFont="1" applyFill="1" applyBorder="1" applyAlignment="1" applyProtection="1">
      <alignment horizontal="right"/>
      <protection locked="0"/>
    </xf>
    <xf numFmtId="0" fontId="8" fillId="0" borderId="2" xfId="0" applyFont="1" applyBorder="1" applyAlignment="1">
      <alignment horizontal="center" vertical="center"/>
    </xf>
    <xf numFmtId="0" fontId="21" fillId="39" borderId="2" xfId="0" applyFont="1" applyFill="1" applyBorder="1" applyAlignment="1" applyProtection="1">
      <alignment horizontal="center"/>
      <protection locked="0"/>
    </xf>
    <xf numFmtId="0" fontId="21" fillId="40" borderId="2" xfId="0" applyFont="1" applyFill="1" applyBorder="1" applyAlignment="1" applyProtection="1">
      <alignment horizontal="center"/>
      <protection locked="0"/>
    </xf>
    <xf numFmtId="0" fontId="21" fillId="40" borderId="2" xfId="0" applyFont="1" applyFill="1" applyBorder="1" applyAlignment="1" applyProtection="1">
      <alignment horizontal="right"/>
      <protection locked="0"/>
    </xf>
    <xf numFmtId="0" fontId="15" fillId="0" borderId="0" xfId="6" applyFont="1" applyBorder="1" applyAlignment="1">
      <alignment horizontal="center" wrapText="1"/>
    </xf>
    <xf numFmtId="0" fontId="15" fillId="0" borderId="10" xfId="6" applyFont="1" applyBorder="1" applyAlignment="1">
      <alignment horizontal="center" wrapText="1"/>
    </xf>
    <xf numFmtId="0" fontId="15" fillId="0" borderId="0" xfId="5" applyFont="1" applyBorder="1" applyAlignment="1">
      <alignment horizontal="center" vertical="center" wrapText="1"/>
    </xf>
    <xf numFmtId="0" fontId="0" fillId="0" borderId="2" xfId="0" applyBorder="1" applyAlignment="1">
      <alignment horizontal="left" vertical="center" wrapText="1"/>
    </xf>
    <xf numFmtId="0" fontId="0" fillId="0" borderId="0" xfId="0" applyFill="1" applyBorder="1" applyAlignment="1">
      <alignment horizontal="left"/>
    </xf>
    <xf numFmtId="0" fontId="25" fillId="0" borderId="2" xfId="0" applyFont="1" applyBorder="1" applyAlignment="1">
      <alignment horizontal="right" vertical="center" wrapText="1"/>
    </xf>
    <xf numFmtId="0" fontId="12" fillId="0" borderId="2" xfId="6" applyBorder="1" applyAlignment="1">
      <alignment horizontal="center" vertical="center" wrapText="1"/>
    </xf>
    <xf numFmtId="0" fontId="23" fillId="29" borderId="45" xfId="6" applyFont="1" applyFill="1" applyBorder="1" applyAlignment="1">
      <alignment horizontal="center" vertical="center"/>
    </xf>
    <xf numFmtId="0" fontId="23" fillId="29" borderId="46" xfId="6" applyFont="1" applyFill="1" applyBorder="1" applyAlignment="1">
      <alignment horizontal="center" vertical="center"/>
    </xf>
    <xf numFmtId="0" fontId="25" fillId="31" borderId="2" xfId="0" applyFont="1" applyFill="1" applyBorder="1" applyAlignment="1">
      <alignment horizontal="right" vertical="center" wrapText="1"/>
    </xf>
    <xf numFmtId="0" fontId="26" fillId="31" borderId="2" xfId="0" applyFont="1" applyFill="1" applyBorder="1" applyAlignment="1">
      <alignment horizontal="right" vertical="center" wrapText="1"/>
    </xf>
    <xf numFmtId="0" fontId="13" fillId="0" borderId="2" xfId="7" applyBorder="1" applyAlignment="1">
      <alignment horizontal="center" vertical="center" wrapText="1"/>
    </xf>
    <xf numFmtId="0" fontId="20" fillId="0" borderId="2" xfId="8" applyBorder="1" applyAlignment="1">
      <alignment horizontal="center" vertical="center" wrapText="1"/>
    </xf>
    <xf numFmtId="0" fontId="8" fillId="29" borderId="47" xfId="0" applyFont="1" applyFill="1" applyBorder="1" applyAlignment="1">
      <alignment horizontal="center" vertical="center"/>
    </xf>
    <xf numFmtId="0" fontId="8" fillId="29" borderId="0" xfId="0" applyFont="1" applyFill="1" applyBorder="1" applyAlignment="1">
      <alignment horizontal="center" vertical="center"/>
    </xf>
    <xf numFmtId="0" fontId="12" fillId="0" borderId="0" xfId="6" applyBorder="1" applyAlignment="1">
      <alignment horizontal="center" vertical="center"/>
    </xf>
    <xf numFmtId="171" fontId="0" fillId="38" borderId="2" xfId="0" applyNumberFormat="1" applyFill="1" applyBorder="1" applyAlignment="1">
      <alignment horizontal="center" vertical="center"/>
    </xf>
    <xf numFmtId="171" fontId="0" fillId="0" borderId="2" xfId="0" applyNumberFormat="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15" fillId="0" borderId="5" xfId="5" applyFont="1" applyBorder="1" applyAlignment="1">
      <alignment horizontal="center" vertical="center" wrapText="1"/>
    </xf>
    <xf numFmtId="0" fontId="8" fillId="0" borderId="2" xfId="0" applyFont="1" applyBorder="1" applyAlignment="1">
      <alignment horizontal="left" vertical="top" wrapText="1"/>
    </xf>
    <xf numFmtId="9" fontId="8" fillId="30" borderId="2" xfId="4" applyNumberFormat="1" applyFont="1" applyFill="1" applyBorder="1" applyAlignment="1">
      <alignment horizontal="left"/>
    </xf>
    <xf numFmtId="0" fontId="8" fillId="0" borderId="2" xfId="0" applyFont="1" applyBorder="1" applyAlignment="1">
      <alignment horizontal="left"/>
    </xf>
    <xf numFmtId="0" fontId="0" fillId="0" borderId="2" xfId="0" applyBorder="1" applyAlignment="1">
      <alignment horizontal="left" vertical="top" wrapText="1"/>
    </xf>
    <xf numFmtId="0" fontId="27" fillId="0" borderId="10" xfId="6" applyFont="1" applyAlignment="1">
      <alignment horizontal="center" vertical="center"/>
    </xf>
    <xf numFmtId="0" fontId="0" fillId="0" borderId="12"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3" xfId="0" applyBorder="1" applyAlignment="1">
      <alignment horizontal="left" vertical="top" wrapText="1"/>
    </xf>
    <xf numFmtId="0" fontId="0" fillId="0" borderId="31" xfId="0" applyBorder="1" applyAlignment="1">
      <alignment horizontal="left" vertical="top" wrapText="1"/>
    </xf>
    <xf numFmtId="0" fontId="20" fillId="0" borderId="32" xfId="8" applyBorder="1" applyAlignment="1">
      <alignment horizontal="center"/>
    </xf>
    <xf numFmtId="0" fontId="20" fillId="0" borderId="23" xfId="8" applyBorder="1" applyAlignment="1">
      <alignment horizontal="center"/>
    </xf>
    <xf numFmtId="165" fontId="0" fillId="0" borderId="0" xfId="0" applyNumberFormat="1" applyAlignment="1">
      <alignment horizontal="left"/>
    </xf>
    <xf numFmtId="0" fontId="12" fillId="0" borderId="0" xfId="6" applyBorder="1" applyAlignment="1">
      <alignment horizontal="center"/>
    </xf>
    <xf numFmtId="0" fontId="12" fillId="0" borderId="27" xfId="6" applyBorder="1" applyAlignment="1">
      <alignment horizontal="center"/>
    </xf>
    <xf numFmtId="0" fontId="12" fillId="0" borderId="10" xfId="6" applyBorder="1" applyAlignment="1">
      <alignment horizontal="center"/>
    </xf>
    <xf numFmtId="0" fontId="12" fillId="0" borderId="34" xfId="6" applyBorder="1" applyAlignment="1">
      <alignment horizontal="center"/>
    </xf>
    <xf numFmtId="0" fontId="0" fillId="5" borderId="22" xfId="0" applyFill="1" applyBorder="1" applyAlignment="1">
      <alignment horizontal="center" vertical="top" wrapText="1"/>
    </xf>
    <xf numFmtId="0" fontId="0" fillId="5" borderId="0" xfId="0" applyFill="1" applyBorder="1" applyAlignment="1">
      <alignment horizontal="center" vertical="top" wrapText="1"/>
    </xf>
    <xf numFmtId="0" fontId="0" fillId="0" borderId="28" xfId="0" applyBorder="1" applyAlignment="1">
      <alignment horizontal="left" vertical="center" wrapText="1"/>
    </xf>
    <xf numFmtId="0" fontId="0" fillId="0" borderId="0" xfId="0" applyBorder="1" applyAlignment="1">
      <alignment horizontal="left" vertical="center" wrapText="1"/>
    </xf>
    <xf numFmtId="0" fontId="19" fillId="0" borderId="0" xfId="0" applyFont="1" applyAlignment="1">
      <alignment horizontal="center" vertical="center" textRotation="90"/>
    </xf>
    <xf numFmtId="0" fontId="19" fillId="0" borderId="0" xfId="0" applyFont="1" applyAlignment="1">
      <alignment horizontal="left" vertical="center" textRotation="90"/>
    </xf>
    <xf numFmtId="0" fontId="0" fillId="36" borderId="0" xfId="0" applyFont="1" applyFill="1" applyBorder="1" applyAlignment="1">
      <alignment horizontal="center"/>
    </xf>
    <xf numFmtId="0" fontId="25" fillId="38" borderId="2" xfId="0" applyFont="1" applyFill="1" applyBorder="1" applyAlignment="1">
      <alignment horizontal="right" vertical="center" wrapText="1"/>
    </xf>
    <xf numFmtId="0" fontId="13" fillId="0" borderId="0" xfId="7" applyBorder="1" applyAlignment="1">
      <alignment horizontal="center"/>
    </xf>
    <xf numFmtId="0" fontId="0" fillId="0" borderId="0" xfId="0" applyBorder="1" applyAlignment="1">
      <alignment horizontal="center" vertical="top" wrapText="1"/>
    </xf>
    <xf numFmtId="171" fontId="26" fillId="38" borderId="2" xfId="0" applyNumberFormat="1"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13" borderId="0" xfId="0" applyFill="1" applyAlignment="1">
      <alignment horizontal="left" vertical="top" wrapText="1"/>
    </xf>
    <xf numFmtId="0" fontId="0" fillId="0" borderId="0" xfId="0" applyAlignment="1">
      <alignment horizontal="center" vertical="top" wrapText="1"/>
    </xf>
    <xf numFmtId="0" fontId="0" fillId="0" borderId="0" xfId="0" applyBorder="1" applyAlignment="1">
      <alignment horizontal="lef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center"/>
    </xf>
    <xf numFmtId="0" fontId="0" fillId="19" borderId="0" xfId="0" applyFill="1" applyAlignment="1">
      <alignment horizontal="center"/>
    </xf>
  </cellXfs>
  <cellStyles count="9">
    <cellStyle name="Comma" xfId="1" builtinId="3"/>
    <cellStyle name="Currency" xfId="2" builtinId="4"/>
    <cellStyle name="Heading 1" xfId="6" builtinId="16"/>
    <cellStyle name="Heading 2" xfId="7" builtinId="17"/>
    <cellStyle name="Heading 3" xfId="8" builtinId="18"/>
    <cellStyle name="Hyperlink" xfId="3" builtinId="8"/>
    <cellStyle name="Normal" xfId="0" builtinId="0"/>
    <cellStyle name="Percent" xfId="4" builtinId="5"/>
    <cellStyle name="Title" xfId="5" builtinId="15"/>
  </cellStyles>
  <dxfs count="4">
    <dxf>
      <font>
        <b val="0"/>
        <i val="0"/>
        <strike val="0"/>
        <condense val="0"/>
        <extend val="0"/>
        <outline val="0"/>
        <shadow val="0"/>
        <u val="none"/>
        <vertAlign val="baseline"/>
        <sz val="11"/>
        <color theme="1"/>
        <name val="Calibri"/>
        <scheme val="minor"/>
      </font>
      <border diagonalUp="0" diagonalDown="0">
        <left style="thin">
          <color theme="4" tint="0.39997558519241921"/>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style="thin">
          <color theme="4" tint="0.39997558519241921"/>
        </left>
        <right/>
        <top style="thin">
          <color theme="4" tint="0.39997558519241921"/>
        </top>
        <bottom/>
        <vertical/>
        <horizontal/>
      </border>
    </dxf>
    <dxf>
      <border outline="0">
        <top style="thin">
          <color theme="4" tint="0.39997558519241921"/>
        </top>
        <bottom style="thin">
          <color theme="4" tint="0.3999755851924192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strRef>
              <c:f>CostsandSavings!$B$40</c:f>
              <c:strCache>
                <c:ptCount val="1"/>
                <c:pt idx="0">
                  <c:v>Inefficient Compressor</c:v>
                </c:pt>
              </c:strCache>
            </c:strRef>
          </c:tx>
          <c:spPr>
            <a:ln>
              <a:solidFill>
                <a:schemeClr val="accent6"/>
              </a:solidFill>
            </a:ln>
          </c:spPr>
          <c:marker>
            <c:symbol val="none"/>
          </c:marker>
          <c:xVal>
            <c:numRef>
              <c:f>CostsandSavings!$A$41:$A$101</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CostsandSavings!$B$41:$B$101</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0-6800-4FD8-A002-E6DBB73D6E1B}"/>
            </c:ext>
          </c:extLst>
        </c:ser>
        <c:ser>
          <c:idx val="3"/>
          <c:order val="1"/>
          <c:tx>
            <c:strRef>
              <c:f>CostsandSavings!$D$40</c:f>
              <c:strCache>
                <c:ptCount val="1"/>
                <c:pt idx="0">
                  <c:v>Efficient Compressor</c:v>
                </c:pt>
              </c:strCache>
            </c:strRef>
          </c:tx>
          <c:spPr>
            <a:ln>
              <a:solidFill>
                <a:srgbClr val="FF0000"/>
              </a:solidFill>
            </a:ln>
          </c:spPr>
          <c:marker>
            <c:symbol val="none"/>
          </c:marker>
          <c:xVal>
            <c:numRef>
              <c:f>CostsandSavings!$A$41:$A$101</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CostsandSavings!$D$41:$D$101</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1-6800-4FD8-A002-E6DBB73D6E1B}"/>
            </c:ext>
          </c:extLst>
        </c:ser>
        <c:ser>
          <c:idx val="0"/>
          <c:order val="2"/>
          <c:tx>
            <c:v>pbhigh</c:v>
          </c:tx>
          <c:marker>
            <c:symbol val="none"/>
          </c:marker>
          <c:errBars>
            <c:errDir val="y"/>
            <c:errBarType val="both"/>
            <c:errValType val="cust"/>
            <c:noEndCap val="1"/>
            <c:plus>
              <c:numRef>
                <c:f>Basic!$AD$86</c:f>
              </c:numRef>
            </c:plus>
            <c:minus>
              <c:numRef>
                <c:f>Basic!$AD$87</c:f>
              </c:numRef>
            </c:minus>
            <c:spPr>
              <a:ln w="12700">
                <a:solidFill>
                  <a:schemeClr val="accent6"/>
                </a:solidFill>
                <a:prstDash val="lgDash"/>
              </a:ln>
            </c:spPr>
          </c:errBars>
          <c:xVal>
            <c:numRef>
              <c:f>Basic!$Z$96</c:f>
            </c:numRef>
          </c:xVal>
          <c:yVal>
            <c:numLit>
              <c:formatCode>General</c:formatCode>
              <c:ptCount val="1"/>
              <c:pt idx="0">
                <c:v>100</c:v>
              </c:pt>
            </c:numLit>
          </c:yVal>
          <c:smooth val="1"/>
          <c:extLst xmlns:c16r2="http://schemas.microsoft.com/office/drawing/2015/06/chart">
            <c:ext xmlns:c16="http://schemas.microsoft.com/office/drawing/2014/chart" uri="{C3380CC4-5D6E-409C-BE32-E72D297353CC}">
              <c16:uniqueId val="{00000002-6800-4FD8-A002-E6DBB73D6E1B}"/>
            </c:ext>
          </c:extLst>
        </c:ser>
        <c:ser>
          <c:idx val="4"/>
          <c:order val="3"/>
          <c:tx>
            <c:v>pbmed</c:v>
          </c:tx>
          <c:marker>
            <c:symbol val="none"/>
          </c:marker>
          <c:xVal>
            <c:numRef>
              <c:f>Basic!$Z$97</c:f>
            </c:numRef>
          </c:xVal>
          <c:yVal>
            <c:numLit>
              <c:formatCode>General</c:formatCode>
              <c:ptCount val="1"/>
              <c:pt idx="0">
                <c:v>100</c:v>
              </c:pt>
            </c:numLit>
          </c:yVal>
          <c:smooth val="1"/>
          <c:extLst xmlns:c16r2="http://schemas.microsoft.com/office/drawing/2015/06/chart">
            <c:ext xmlns:c16="http://schemas.microsoft.com/office/drawing/2014/chart" uri="{C3380CC4-5D6E-409C-BE32-E72D297353CC}">
              <c16:uniqueId val="{00000003-6800-4FD8-A002-E6DBB73D6E1B}"/>
            </c:ext>
          </c:extLst>
        </c:ser>
        <c:ser>
          <c:idx val="5"/>
          <c:order val="4"/>
          <c:tx>
            <c:v>pblow</c:v>
          </c:tx>
          <c:marker>
            <c:symbol val="none"/>
          </c:marker>
          <c:errBars>
            <c:errDir val="y"/>
            <c:errBarType val="both"/>
            <c:errValType val="cust"/>
            <c:noEndCap val="1"/>
            <c:plus>
              <c:numRef>
                <c:f>Basic!$AD$86</c:f>
              </c:numRef>
            </c:plus>
            <c:minus>
              <c:numRef>
                <c:f>Basic!$AD$87</c:f>
              </c:numRef>
            </c:minus>
            <c:spPr>
              <a:ln w="12700">
                <a:solidFill>
                  <a:srgbClr val="FF0000"/>
                </a:solidFill>
                <a:prstDash val="lgDash"/>
              </a:ln>
            </c:spPr>
          </c:errBars>
          <c:xVal>
            <c:numRef>
              <c:f>Basic!$Z$98</c:f>
            </c:numRef>
          </c:xVal>
          <c:yVal>
            <c:numLit>
              <c:formatCode>General</c:formatCode>
              <c:ptCount val="1"/>
              <c:pt idx="0">
                <c:v>100</c:v>
              </c:pt>
            </c:numLit>
          </c:yVal>
          <c:smooth val="1"/>
          <c:extLst xmlns:c16r2="http://schemas.microsoft.com/office/drawing/2015/06/chart">
            <c:ext xmlns:c16="http://schemas.microsoft.com/office/drawing/2014/chart" uri="{C3380CC4-5D6E-409C-BE32-E72D297353CC}">
              <c16:uniqueId val="{00000004-6800-4FD8-A002-E6DBB73D6E1B}"/>
            </c:ext>
          </c:extLst>
        </c:ser>
        <c:dLbls>
          <c:showLegendKey val="0"/>
          <c:showVal val="0"/>
          <c:showCatName val="0"/>
          <c:showSerName val="0"/>
          <c:showPercent val="0"/>
          <c:showBubbleSize val="0"/>
        </c:dLbls>
        <c:axId val="530591024"/>
        <c:axId val="530591584"/>
      </c:scatterChart>
      <c:valAx>
        <c:axId val="530591024"/>
        <c:scaling>
          <c:orientation val="minMax"/>
          <c:max val="60"/>
        </c:scaling>
        <c:delete val="0"/>
        <c:axPos val="b"/>
        <c:title>
          <c:tx>
            <c:rich>
              <a:bodyPr/>
              <a:lstStyle/>
              <a:p>
                <a:pPr>
                  <a:defRPr/>
                </a:pPr>
                <a:r>
                  <a:rPr lang="en-US"/>
                  <a:t>Months</a:t>
                </a:r>
              </a:p>
            </c:rich>
          </c:tx>
          <c:layout/>
          <c:overlay val="0"/>
        </c:title>
        <c:numFmt formatCode="General" sourceLinked="1"/>
        <c:majorTickMark val="out"/>
        <c:minorTickMark val="none"/>
        <c:tickLblPos val="nextTo"/>
        <c:crossAx val="530591584"/>
        <c:crosses val="autoZero"/>
        <c:crossBetween val="midCat"/>
        <c:majorUnit val="12"/>
        <c:minorUnit val="6"/>
      </c:valAx>
      <c:valAx>
        <c:axId val="530591584"/>
        <c:scaling>
          <c:orientation val="minMax"/>
        </c:scaling>
        <c:delete val="0"/>
        <c:axPos val="l"/>
        <c:majorGridlines/>
        <c:title>
          <c:tx>
            <c:rich>
              <a:bodyPr rot="-5400000" vert="horz"/>
              <a:lstStyle/>
              <a:p>
                <a:pPr>
                  <a:defRPr/>
                </a:pPr>
                <a:r>
                  <a:rPr lang="en-US"/>
                  <a:t>Savings ($)</a:t>
                </a:r>
              </a:p>
            </c:rich>
          </c:tx>
          <c:layout/>
          <c:overlay val="0"/>
        </c:title>
        <c:numFmt formatCode="&quot;$&quot;#,##0_);[Red]\(&quot;$&quot;#,##0\)" sourceLinked="1"/>
        <c:majorTickMark val="out"/>
        <c:minorTickMark val="none"/>
        <c:tickLblPos val="nextTo"/>
        <c:crossAx val="530591024"/>
        <c:crosses val="autoZero"/>
        <c:crossBetween val="midCat"/>
      </c:valAx>
    </c:plotArea>
    <c:legend>
      <c:legendPos val="r"/>
      <c:legendEntry>
        <c:idx val="2"/>
        <c:delete val="1"/>
      </c:legendEntry>
      <c:legendEntry>
        <c:idx val="3"/>
        <c:delete val="1"/>
      </c:legendEntry>
      <c:legendEntry>
        <c:idx val="4"/>
        <c:delete val="1"/>
      </c:legendEntry>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5"/>
          <c:order val="0"/>
          <c:tx>
            <c:strRef>
              <c:f>Advanced!$T$186</c:f>
              <c:strCache>
                <c:ptCount val="1"/>
                <c:pt idx="0">
                  <c:v>Inefficient Compressor</c:v>
                </c:pt>
              </c:strCache>
            </c:strRef>
          </c:tx>
          <c:spPr>
            <a:ln>
              <a:solidFill>
                <a:schemeClr val="accent6"/>
              </a:solidFill>
            </a:ln>
          </c:spPr>
          <c:marker>
            <c:symbol val="none"/>
          </c:marker>
          <c:xVal>
            <c:numRef>
              <c:f>Advanced!$S$187:$S$247</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Advanced!$T$187:$T$247</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0-E0B6-40CC-B2C4-1597973383C9}"/>
            </c:ext>
          </c:extLst>
        </c:ser>
        <c:ser>
          <c:idx val="0"/>
          <c:order val="1"/>
          <c:tx>
            <c:v>pblow</c:v>
          </c:tx>
          <c:spPr>
            <a:ln>
              <a:solidFill>
                <a:schemeClr val="tx1"/>
              </a:solidFill>
            </a:ln>
          </c:spPr>
          <c:marker>
            <c:symbol val="none"/>
          </c:marker>
          <c:errBars>
            <c:errDir val="y"/>
            <c:errBarType val="both"/>
            <c:errValType val="cust"/>
            <c:noEndCap val="1"/>
            <c:plus>
              <c:numRef>
                <c:f>Advanced!$AB$186</c:f>
                <c:numCache>
                  <c:formatCode>General</c:formatCode>
                  <c:ptCount val="1"/>
                  <c:pt idx="0">
                    <c:v>0</c:v>
                  </c:pt>
                </c:numCache>
              </c:numRef>
            </c:plus>
            <c:minus>
              <c:numRef>
                <c:f>Advanced!$AB$187</c:f>
                <c:numCache>
                  <c:formatCode>General</c:formatCode>
                  <c:ptCount val="1"/>
                  <c:pt idx="0">
                    <c:v>0</c:v>
                  </c:pt>
                </c:numCache>
              </c:numRef>
            </c:minus>
            <c:spPr>
              <a:ln>
                <a:solidFill>
                  <a:srgbClr val="FF0000"/>
                </a:solidFill>
                <a:prstDash val="lgDash"/>
              </a:ln>
            </c:spPr>
          </c:errBars>
          <c:xVal>
            <c:numRef>
              <c:f>Advanced!$T$181</c:f>
              <c:numCache>
                <c:formatCode>0.0</c:formatCode>
                <c:ptCount val="1"/>
                <c:pt idx="0">
                  <c:v>0</c:v>
                </c:pt>
              </c:numCache>
            </c:numRef>
          </c:xVal>
          <c:yVal>
            <c:numLit>
              <c:formatCode>General</c:formatCode>
              <c:ptCount val="1"/>
              <c:pt idx="0">
                <c:v>1</c:v>
              </c:pt>
            </c:numLit>
          </c:yVal>
          <c:smooth val="1"/>
          <c:extLst xmlns:c16r2="http://schemas.microsoft.com/office/drawing/2015/06/chart">
            <c:ext xmlns:c16="http://schemas.microsoft.com/office/drawing/2014/chart" uri="{C3380CC4-5D6E-409C-BE32-E72D297353CC}">
              <c16:uniqueId val="{00000001-E0B6-40CC-B2C4-1597973383C9}"/>
            </c:ext>
          </c:extLst>
        </c:ser>
        <c:ser>
          <c:idx val="2"/>
          <c:order val="2"/>
          <c:tx>
            <c:strRef>
              <c:f>Advanced!$V$186</c:f>
              <c:strCache>
                <c:ptCount val="1"/>
                <c:pt idx="0">
                  <c:v>Efficient Compressor</c:v>
                </c:pt>
              </c:strCache>
            </c:strRef>
          </c:tx>
          <c:spPr>
            <a:ln>
              <a:solidFill>
                <a:srgbClr val="FF0000"/>
              </a:solidFill>
            </a:ln>
          </c:spPr>
          <c:marker>
            <c:symbol val="none"/>
          </c:marker>
          <c:xVal>
            <c:numRef>
              <c:f>Advanced!$S$187:$S$247</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Advanced!$V$187:$V$247</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2-E0B6-40CC-B2C4-1597973383C9}"/>
            </c:ext>
          </c:extLst>
        </c:ser>
        <c:ser>
          <c:idx val="3"/>
          <c:order val="3"/>
          <c:tx>
            <c:strRef>
              <c:f>Advanced!$W$186</c:f>
              <c:strCache>
                <c:ptCount val="1"/>
                <c:pt idx="0">
                  <c:v>Custom Compressor</c:v>
                </c:pt>
              </c:strCache>
            </c:strRef>
          </c:tx>
          <c:spPr>
            <a:ln>
              <a:solidFill>
                <a:srgbClr val="FFC000"/>
              </a:solidFill>
            </a:ln>
          </c:spPr>
          <c:marker>
            <c:symbol val="none"/>
          </c:marker>
          <c:xVal>
            <c:numRef>
              <c:f>Advanced!$S$187:$S$247</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Advanced!$W$187:$W$247</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3-E0B6-40CC-B2C4-1597973383C9}"/>
            </c:ext>
          </c:extLst>
        </c:ser>
        <c:ser>
          <c:idx val="1"/>
          <c:order val="4"/>
          <c:tx>
            <c:v>pbhigh</c:v>
          </c:tx>
          <c:marker>
            <c:symbol val="none"/>
          </c:marker>
          <c:errBars>
            <c:errDir val="y"/>
            <c:errBarType val="both"/>
            <c:errValType val="cust"/>
            <c:noEndCap val="1"/>
            <c:plus>
              <c:numRef>
                <c:f>Advanced!$AB$186</c:f>
                <c:numCache>
                  <c:formatCode>General</c:formatCode>
                  <c:ptCount val="1"/>
                  <c:pt idx="0">
                    <c:v>0</c:v>
                  </c:pt>
                </c:numCache>
              </c:numRef>
            </c:plus>
            <c:minus>
              <c:numRef>
                <c:f>Advanced!$AB$187</c:f>
                <c:numCache>
                  <c:formatCode>General</c:formatCode>
                  <c:ptCount val="1"/>
                  <c:pt idx="0">
                    <c:v>0</c:v>
                  </c:pt>
                </c:numCache>
              </c:numRef>
            </c:minus>
            <c:spPr>
              <a:ln>
                <a:solidFill>
                  <a:schemeClr val="accent6"/>
                </a:solidFill>
                <a:prstDash val="lgDash"/>
              </a:ln>
            </c:spPr>
          </c:errBars>
          <c:xVal>
            <c:numRef>
              <c:f>Advanced!$T$179</c:f>
              <c:numCache>
                <c:formatCode>0.0</c:formatCode>
                <c:ptCount val="1"/>
                <c:pt idx="0">
                  <c:v>0</c:v>
                </c:pt>
              </c:numCache>
            </c:numRef>
          </c:xVal>
          <c:yVal>
            <c:numLit>
              <c:formatCode>General</c:formatCode>
              <c:ptCount val="1"/>
              <c:pt idx="0">
                <c:v>1</c:v>
              </c:pt>
            </c:numLit>
          </c:yVal>
          <c:smooth val="1"/>
          <c:extLst xmlns:c16r2="http://schemas.microsoft.com/office/drawing/2015/06/chart">
            <c:ext xmlns:c16="http://schemas.microsoft.com/office/drawing/2014/chart" uri="{C3380CC4-5D6E-409C-BE32-E72D297353CC}">
              <c16:uniqueId val="{00000004-E0B6-40CC-B2C4-1597973383C9}"/>
            </c:ext>
          </c:extLst>
        </c:ser>
        <c:ser>
          <c:idx val="4"/>
          <c:order val="5"/>
          <c:tx>
            <c:v>pbcustom</c:v>
          </c:tx>
          <c:marker>
            <c:symbol val="none"/>
          </c:marker>
          <c:errBars>
            <c:errDir val="y"/>
            <c:errBarType val="both"/>
            <c:errValType val="cust"/>
            <c:noEndCap val="1"/>
            <c:plus>
              <c:numRef>
                <c:f>Advanced!$AB$186</c:f>
                <c:numCache>
                  <c:formatCode>General</c:formatCode>
                  <c:ptCount val="1"/>
                  <c:pt idx="0">
                    <c:v>0</c:v>
                  </c:pt>
                </c:numCache>
              </c:numRef>
            </c:plus>
            <c:minus>
              <c:numRef>
                <c:f>Advanced!$AB$187</c:f>
                <c:numCache>
                  <c:formatCode>General</c:formatCode>
                  <c:ptCount val="1"/>
                  <c:pt idx="0">
                    <c:v>0</c:v>
                  </c:pt>
                </c:numCache>
              </c:numRef>
            </c:minus>
            <c:spPr>
              <a:ln>
                <a:solidFill>
                  <a:srgbClr val="FFC000"/>
                </a:solidFill>
                <a:prstDash val="lgDash"/>
              </a:ln>
            </c:spPr>
          </c:errBars>
          <c:xVal>
            <c:numRef>
              <c:f>Advanced!$U$179</c:f>
              <c:numCache>
                <c:formatCode>0.0</c:formatCode>
                <c:ptCount val="1"/>
                <c:pt idx="0">
                  <c:v>0</c:v>
                </c:pt>
              </c:numCache>
            </c:numRef>
          </c:xVal>
          <c:yVal>
            <c:numLit>
              <c:formatCode>General</c:formatCode>
              <c:ptCount val="1"/>
              <c:pt idx="0">
                <c:v>1</c:v>
              </c:pt>
            </c:numLit>
          </c:yVal>
          <c:smooth val="1"/>
          <c:extLst xmlns:c16r2="http://schemas.microsoft.com/office/drawing/2015/06/chart">
            <c:ext xmlns:c16="http://schemas.microsoft.com/office/drawing/2014/chart" uri="{C3380CC4-5D6E-409C-BE32-E72D297353CC}">
              <c16:uniqueId val="{00000005-E0B6-40CC-B2C4-1597973383C9}"/>
            </c:ext>
          </c:extLst>
        </c:ser>
        <c:dLbls>
          <c:showLegendKey val="0"/>
          <c:showVal val="0"/>
          <c:showCatName val="0"/>
          <c:showSerName val="0"/>
          <c:showPercent val="0"/>
          <c:showBubbleSize val="0"/>
        </c:dLbls>
        <c:axId val="593979776"/>
        <c:axId val="593980336"/>
      </c:scatterChart>
      <c:valAx>
        <c:axId val="593979776"/>
        <c:scaling>
          <c:orientation val="minMax"/>
          <c:max val="60"/>
          <c:min val="0"/>
        </c:scaling>
        <c:delete val="0"/>
        <c:axPos val="b"/>
        <c:title>
          <c:tx>
            <c:rich>
              <a:bodyPr/>
              <a:lstStyle/>
              <a:p>
                <a:pPr>
                  <a:defRPr/>
                </a:pPr>
                <a:r>
                  <a:rPr lang="en-US"/>
                  <a:t>Months</a:t>
                </a:r>
              </a:p>
            </c:rich>
          </c:tx>
          <c:overlay val="0"/>
        </c:title>
        <c:numFmt formatCode="General" sourceLinked="1"/>
        <c:majorTickMark val="out"/>
        <c:minorTickMark val="none"/>
        <c:tickLblPos val="nextTo"/>
        <c:crossAx val="593980336"/>
        <c:crosses val="autoZero"/>
        <c:crossBetween val="midCat"/>
      </c:valAx>
      <c:valAx>
        <c:axId val="593980336"/>
        <c:scaling>
          <c:orientation val="minMax"/>
        </c:scaling>
        <c:delete val="0"/>
        <c:axPos val="l"/>
        <c:majorGridlines/>
        <c:title>
          <c:tx>
            <c:rich>
              <a:bodyPr rot="-5400000" vert="horz"/>
              <a:lstStyle/>
              <a:p>
                <a:pPr>
                  <a:defRPr/>
                </a:pPr>
                <a:r>
                  <a:rPr lang="en-US"/>
                  <a:t>Savings ($)</a:t>
                </a:r>
              </a:p>
            </c:rich>
          </c:tx>
          <c:overlay val="0"/>
        </c:title>
        <c:numFmt formatCode="&quot;$&quot;#,##0_);[Red]\(&quot;$&quot;#,##0\)" sourceLinked="1"/>
        <c:majorTickMark val="out"/>
        <c:minorTickMark val="none"/>
        <c:tickLblPos val="nextTo"/>
        <c:crossAx val="593979776"/>
        <c:crosses val="autoZero"/>
        <c:crossBetween val="midCat"/>
      </c:valAx>
    </c:plotArea>
    <c:legend>
      <c:legendPos val="r"/>
      <c:legendEntry>
        <c:idx val="1"/>
        <c:delete val="1"/>
      </c:legendEntry>
      <c:legendEntry>
        <c:idx val="4"/>
        <c:delete val="1"/>
      </c:legendEntry>
      <c:legendEntry>
        <c:idx val="5"/>
        <c:delete val="1"/>
      </c:legendEntry>
      <c:overlay val="0"/>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Compressors!$BC$37</c:f>
              <c:strCache>
                <c:ptCount val="1"/>
                <c:pt idx="0">
                  <c:v>SpecPackagePower</c:v>
                </c:pt>
              </c:strCache>
            </c:strRef>
          </c:tx>
          <c:spPr>
            <a:ln w="19050">
              <a:noFill/>
            </a:ln>
          </c:spPr>
          <c:xVal>
            <c:numRef>
              <c:f>Compressors!$BB$38:$BB$287</c:f>
              <c:numCache>
                <c:formatCode>General</c:formatCode>
                <c:ptCount val="250"/>
                <c:pt idx="0">
                  <c:v>5</c:v>
                </c:pt>
                <c:pt idx="1">
                  <c:v>5</c:v>
                </c:pt>
                <c:pt idx="2">
                  <c:v>5</c:v>
                </c:pt>
                <c:pt idx="3">
                  <c:v>5</c:v>
                </c:pt>
                <c:pt idx="4">
                  <c:v>5</c:v>
                </c:pt>
                <c:pt idx="5">
                  <c:v>5</c:v>
                </c:pt>
                <c:pt idx="6">
                  <c:v>5</c:v>
                </c:pt>
                <c:pt idx="7">
                  <c:v>5</c:v>
                </c:pt>
                <c:pt idx="8">
                  <c:v>5</c:v>
                </c:pt>
                <c:pt idx="9">
                  <c:v>5</c:v>
                </c:pt>
                <c:pt idx="10">
                  <c:v>7.5</c:v>
                </c:pt>
                <c:pt idx="11">
                  <c:v>7.5</c:v>
                </c:pt>
                <c:pt idx="12">
                  <c:v>7.5</c:v>
                </c:pt>
                <c:pt idx="13">
                  <c:v>7.5</c:v>
                </c:pt>
                <c:pt idx="14">
                  <c:v>7.5</c:v>
                </c:pt>
                <c:pt idx="15">
                  <c:v>7.5</c:v>
                </c:pt>
                <c:pt idx="16">
                  <c:v>7.5</c:v>
                </c:pt>
                <c:pt idx="17">
                  <c:v>7.5</c:v>
                </c:pt>
                <c:pt idx="18">
                  <c:v>7.5</c:v>
                </c:pt>
                <c:pt idx="19">
                  <c:v>7.5</c:v>
                </c:pt>
                <c:pt idx="20">
                  <c:v>10</c:v>
                </c:pt>
                <c:pt idx="21">
                  <c:v>10</c:v>
                </c:pt>
                <c:pt idx="22">
                  <c:v>10</c:v>
                </c:pt>
                <c:pt idx="23">
                  <c:v>10</c:v>
                </c:pt>
                <c:pt idx="24">
                  <c:v>10</c:v>
                </c:pt>
                <c:pt idx="25">
                  <c:v>10</c:v>
                </c:pt>
                <c:pt idx="26">
                  <c:v>10</c:v>
                </c:pt>
                <c:pt idx="27">
                  <c:v>10</c:v>
                </c:pt>
                <c:pt idx="28">
                  <c:v>10</c:v>
                </c:pt>
                <c:pt idx="29">
                  <c:v>10</c:v>
                </c:pt>
                <c:pt idx="30">
                  <c:v>15</c:v>
                </c:pt>
                <c:pt idx="31">
                  <c:v>15</c:v>
                </c:pt>
                <c:pt idx="32">
                  <c:v>15</c:v>
                </c:pt>
                <c:pt idx="33">
                  <c:v>15</c:v>
                </c:pt>
                <c:pt idx="34">
                  <c:v>15</c:v>
                </c:pt>
                <c:pt idx="35">
                  <c:v>15</c:v>
                </c:pt>
                <c:pt idx="36">
                  <c:v>15</c:v>
                </c:pt>
                <c:pt idx="37">
                  <c:v>15</c:v>
                </c:pt>
                <c:pt idx="38">
                  <c:v>15</c:v>
                </c:pt>
                <c:pt idx="39">
                  <c:v>15</c:v>
                </c:pt>
                <c:pt idx="40">
                  <c:v>20</c:v>
                </c:pt>
                <c:pt idx="41">
                  <c:v>20</c:v>
                </c:pt>
                <c:pt idx="42">
                  <c:v>20</c:v>
                </c:pt>
                <c:pt idx="43">
                  <c:v>20</c:v>
                </c:pt>
                <c:pt idx="44">
                  <c:v>20</c:v>
                </c:pt>
                <c:pt idx="45">
                  <c:v>20</c:v>
                </c:pt>
                <c:pt idx="46">
                  <c:v>20</c:v>
                </c:pt>
                <c:pt idx="47">
                  <c:v>20</c:v>
                </c:pt>
                <c:pt idx="48">
                  <c:v>20</c:v>
                </c:pt>
                <c:pt idx="49">
                  <c:v>20</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30</c:v>
                </c:pt>
                <c:pt idx="66">
                  <c:v>30</c:v>
                </c:pt>
                <c:pt idx="67">
                  <c:v>30</c:v>
                </c:pt>
                <c:pt idx="68">
                  <c:v>30</c:v>
                </c:pt>
                <c:pt idx="69">
                  <c:v>30</c:v>
                </c:pt>
                <c:pt idx="70">
                  <c:v>30</c:v>
                </c:pt>
                <c:pt idx="71">
                  <c:v>30</c:v>
                </c:pt>
                <c:pt idx="72">
                  <c:v>30</c:v>
                </c:pt>
                <c:pt idx="73">
                  <c:v>30</c:v>
                </c:pt>
                <c:pt idx="74">
                  <c:v>30</c:v>
                </c:pt>
                <c:pt idx="75">
                  <c:v>30</c:v>
                </c:pt>
                <c:pt idx="76">
                  <c:v>30</c:v>
                </c:pt>
                <c:pt idx="77">
                  <c:v>30</c:v>
                </c:pt>
                <c:pt idx="78">
                  <c:v>30</c:v>
                </c:pt>
                <c:pt idx="79">
                  <c:v>30</c:v>
                </c:pt>
                <c:pt idx="80">
                  <c:v>40</c:v>
                </c:pt>
                <c:pt idx="81">
                  <c:v>40</c:v>
                </c:pt>
                <c:pt idx="82">
                  <c:v>40</c:v>
                </c:pt>
                <c:pt idx="83">
                  <c:v>40</c:v>
                </c:pt>
                <c:pt idx="84">
                  <c:v>40</c:v>
                </c:pt>
                <c:pt idx="85">
                  <c:v>40</c:v>
                </c:pt>
                <c:pt idx="86">
                  <c:v>40</c:v>
                </c:pt>
                <c:pt idx="87">
                  <c:v>40</c:v>
                </c:pt>
                <c:pt idx="88">
                  <c:v>40</c:v>
                </c:pt>
                <c:pt idx="89">
                  <c:v>40</c:v>
                </c:pt>
                <c:pt idx="90">
                  <c:v>40</c:v>
                </c:pt>
                <c:pt idx="91">
                  <c:v>40</c:v>
                </c:pt>
                <c:pt idx="92">
                  <c:v>40</c:v>
                </c:pt>
                <c:pt idx="93">
                  <c:v>40</c:v>
                </c:pt>
                <c:pt idx="94">
                  <c:v>40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60</c:v>
                </c:pt>
                <c:pt idx="116">
                  <c:v>60</c:v>
                </c:pt>
                <c:pt idx="117">
                  <c:v>60</c:v>
                </c:pt>
                <c:pt idx="118">
                  <c:v>60</c:v>
                </c:pt>
                <c:pt idx="119">
                  <c:v>60</c:v>
                </c:pt>
                <c:pt idx="120">
                  <c:v>60</c:v>
                </c:pt>
                <c:pt idx="121">
                  <c:v>60</c:v>
                </c:pt>
                <c:pt idx="122">
                  <c:v>60</c:v>
                </c:pt>
                <c:pt idx="123">
                  <c:v>60</c:v>
                </c:pt>
                <c:pt idx="124">
                  <c:v>60</c:v>
                </c:pt>
                <c:pt idx="125">
                  <c:v>60</c:v>
                </c:pt>
                <c:pt idx="126">
                  <c:v>60</c:v>
                </c:pt>
                <c:pt idx="127">
                  <c:v>60</c:v>
                </c:pt>
                <c:pt idx="128">
                  <c:v>60</c:v>
                </c:pt>
                <c:pt idx="129">
                  <c:v>60</c:v>
                </c:pt>
                <c:pt idx="130">
                  <c:v>75</c:v>
                </c:pt>
                <c:pt idx="131">
                  <c:v>75</c:v>
                </c:pt>
                <c:pt idx="132">
                  <c:v>75</c:v>
                </c:pt>
                <c:pt idx="133">
                  <c:v>75</c:v>
                </c:pt>
                <c:pt idx="134">
                  <c:v>75</c:v>
                </c:pt>
                <c:pt idx="135">
                  <c:v>75</c:v>
                </c:pt>
                <c:pt idx="136">
                  <c:v>75</c:v>
                </c:pt>
                <c:pt idx="137">
                  <c:v>75</c:v>
                </c:pt>
                <c:pt idx="138">
                  <c:v>75</c:v>
                </c:pt>
                <c:pt idx="139">
                  <c:v>75</c:v>
                </c:pt>
                <c:pt idx="140">
                  <c:v>75</c:v>
                </c:pt>
                <c:pt idx="141">
                  <c:v>75</c:v>
                </c:pt>
                <c:pt idx="142">
                  <c:v>75</c:v>
                </c:pt>
                <c:pt idx="143">
                  <c:v>75</c:v>
                </c:pt>
                <c:pt idx="144">
                  <c:v>75</c:v>
                </c:pt>
                <c:pt idx="145">
                  <c:v>75</c:v>
                </c:pt>
                <c:pt idx="146">
                  <c:v>75</c:v>
                </c:pt>
                <c:pt idx="147">
                  <c:v>75</c:v>
                </c:pt>
                <c:pt idx="148">
                  <c:v>75</c:v>
                </c:pt>
                <c:pt idx="149">
                  <c:v>75</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125</c:v>
                </c:pt>
                <c:pt idx="171">
                  <c:v>125</c:v>
                </c:pt>
                <c:pt idx="172">
                  <c:v>125</c:v>
                </c:pt>
                <c:pt idx="173">
                  <c:v>125</c:v>
                </c:pt>
                <c:pt idx="174">
                  <c:v>125</c:v>
                </c:pt>
                <c:pt idx="175">
                  <c:v>125</c:v>
                </c:pt>
                <c:pt idx="176">
                  <c:v>125</c:v>
                </c:pt>
                <c:pt idx="177">
                  <c:v>125</c:v>
                </c:pt>
                <c:pt idx="178">
                  <c:v>125</c:v>
                </c:pt>
                <c:pt idx="179">
                  <c:v>125</c:v>
                </c:pt>
                <c:pt idx="180">
                  <c:v>125</c:v>
                </c:pt>
                <c:pt idx="181">
                  <c:v>125</c:v>
                </c:pt>
                <c:pt idx="182">
                  <c:v>125</c:v>
                </c:pt>
                <c:pt idx="183">
                  <c:v>125</c:v>
                </c:pt>
                <c:pt idx="184">
                  <c:v>125</c:v>
                </c:pt>
                <c:pt idx="185">
                  <c:v>125</c:v>
                </c:pt>
                <c:pt idx="186">
                  <c:v>125</c:v>
                </c:pt>
                <c:pt idx="187">
                  <c:v>125</c:v>
                </c:pt>
                <c:pt idx="188">
                  <c:v>125</c:v>
                </c:pt>
                <c:pt idx="189">
                  <c:v>125</c:v>
                </c:pt>
                <c:pt idx="190">
                  <c:v>150</c:v>
                </c:pt>
                <c:pt idx="191">
                  <c:v>150</c:v>
                </c:pt>
                <c:pt idx="192">
                  <c:v>150</c:v>
                </c:pt>
                <c:pt idx="193">
                  <c:v>150</c:v>
                </c:pt>
                <c:pt idx="194">
                  <c:v>150</c:v>
                </c:pt>
                <c:pt idx="195">
                  <c:v>150</c:v>
                </c:pt>
                <c:pt idx="196">
                  <c:v>150</c:v>
                </c:pt>
                <c:pt idx="197">
                  <c:v>150</c:v>
                </c:pt>
                <c:pt idx="198">
                  <c:v>150</c:v>
                </c:pt>
                <c:pt idx="199">
                  <c:v>150</c:v>
                </c:pt>
                <c:pt idx="200">
                  <c:v>150</c:v>
                </c:pt>
                <c:pt idx="201">
                  <c:v>150</c:v>
                </c:pt>
                <c:pt idx="202">
                  <c:v>150</c:v>
                </c:pt>
                <c:pt idx="203">
                  <c:v>150</c:v>
                </c:pt>
                <c:pt idx="204">
                  <c:v>150</c:v>
                </c:pt>
                <c:pt idx="205">
                  <c:v>150</c:v>
                </c:pt>
                <c:pt idx="206">
                  <c:v>150</c:v>
                </c:pt>
                <c:pt idx="207">
                  <c:v>150</c:v>
                </c:pt>
                <c:pt idx="208">
                  <c:v>150</c:v>
                </c:pt>
                <c:pt idx="209">
                  <c:v>150</c:v>
                </c:pt>
                <c:pt idx="210">
                  <c:v>200</c:v>
                </c:pt>
                <c:pt idx="211">
                  <c:v>200</c:v>
                </c:pt>
                <c:pt idx="212">
                  <c:v>200</c:v>
                </c:pt>
                <c:pt idx="213">
                  <c:v>200</c:v>
                </c:pt>
                <c:pt idx="214">
                  <c:v>200</c:v>
                </c:pt>
                <c:pt idx="215">
                  <c:v>200</c:v>
                </c:pt>
                <c:pt idx="216">
                  <c:v>200</c:v>
                </c:pt>
                <c:pt idx="217">
                  <c:v>200</c:v>
                </c:pt>
                <c:pt idx="218">
                  <c:v>200</c:v>
                </c:pt>
                <c:pt idx="219">
                  <c:v>200</c:v>
                </c:pt>
                <c:pt idx="220">
                  <c:v>200</c:v>
                </c:pt>
                <c:pt idx="221">
                  <c:v>200</c:v>
                </c:pt>
                <c:pt idx="222">
                  <c:v>200</c:v>
                </c:pt>
                <c:pt idx="223">
                  <c:v>200</c:v>
                </c:pt>
                <c:pt idx="224">
                  <c:v>200</c:v>
                </c:pt>
                <c:pt idx="225">
                  <c:v>200</c:v>
                </c:pt>
                <c:pt idx="226">
                  <c:v>200</c:v>
                </c:pt>
                <c:pt idx="227">
                  <c:v>200</c:v>
                </c:pt>
                <c:pt idx="228">
                  <c:v>200</c:v>
                </c:pt>
                <c:pt idx="229">
                  <c:v>200</c:v>
                </c:pt>
                <c:pt idx="230">
                  <c:v>250</c:v>
                </c:pt>
                <c:pt idx="231">
                  <c:v>250</c:v>
                </c:pt>
                <c:pt idx="232">
                  <c:v>250</c:v>
                </c:pt>
                <c:pt idx="233">
                  <c:v>250</c:v>
                </c:pt>
                <c:pt idx="234">
                  <c:v>250</c:v>
                </c:pt>
                <c:pt idx="235">
                  <c:v>250</c:v>
                </c:pt>
                <c:pt idx="236">
                  <c:v>250</c:v>
                </c:pt>
                <c:pt idx="237">
                  <c:v>250</c:v>
                </c:pt>
                <c:pt idx="238">
                  <c:v>250</c:v>
                </c:pt>
                <c:pt idx="239">
                  <c:v>250</c:v>
                </c:pt>
                <c:pt idx="240">
                  <c:v>250</c:v>
                </c:pt>
                <c:pt idx="241">
                  <c:v>250</c:v>
                </c:pt>
                <c:pt idx="242">
                  <c:v>250</c:v>
                </c:pt>
                <c:pt idx="243">
                  <c:v>250</c:v>
                </c:pt>
                <c:pt idx="244">
                  <c:v>250</c:v>
                </c:pt>
                <c:pt idx="245">
                  <c:v>250</c:v>
                </c:pt>
                <c:pt idx="246">
                  <c:v>250</c:v>
                </c:pt>
                <c:pt idx="247">
                  <c:v>250</c:v>
                </c:pt>
                <c:pt idx="248">
                  <c:v>250</c:v>
                </c:pt>
                <c:pt idx="249">
                  <c:v>250</c:v>
                </c:pt>
              </c:numCache>
            </c:numRef>
          </c:xVal>
          <c:yVal>
            <c:numRef>
              <c:f>Compressors!$BC$38:$BC$287</c:f>
              <c:numCache>
                <c:formatCode>General</c:formatCode>
                <c:ptCount val="250"/>
                <c:pt idx="0">
                  <c:v>25.899999618530298</c:v>
                </c:pt>
                <c:pt idx="1">
                  <c:v>25.899999618530298</c:v>
                </c:pt>
                <c:pt idx="2">
                  <c:v>25.899999618530298</c:v>
                </c:pt>
                <c:pt idx="3">
                  <c:v>25.899999618530298</c:v>
                </c:pt>
                <c:pt idx="4">
                  <c:v>25.899999618530298</c:v>
                </c:pt>
                <c:pt idx="5">
                  <c:v>26.299999237060501</c:v>
                </c:pt>
                <c:pt idx="6">
                  <c:v>26.299999237060501</c:v>
                </c:pt>
                <c:pt idx="7">
                  <c:v>26.299999237060501</c:v>
                </c:pt>
                <c:pt idx="8">
                  <c:v>26.299999237060501</c:v>
                </c:pt>
                <c:pt idx="9">
                  <c:v>26.299999237060501</c:v>
                </c:pt>
                <c:pt idx="10">
                  <c:v>25.399999618530298</c:v>
                </c:pt>
                <c:pt idx="11">
                  <c:v>25.399999618530298</c:v>
                </c:pt>
                <c:pt idx="12">
                  <c:v>25.399999618530298</c:v>
                </c:pt>
                <c:pt idx="13">
                  <c:v>25.399999618530298</c:v>
                </c:pt>
                <c:pt idx="14">
                  <c:v>25.399999618530298</c:v>
                </c:pt>
                <c:pt idx="15">
                  <c:v>27.700000762939499</c:v>
                </c:pt>
                <c:pt idx="16">
                  <c:v>27.700000762939499</c:v>
                </c:pt>
                <c:pt idx="17">
                  <c:v>27.700000762939499</c:v>
                </c:pt>
                <c:pt idx="18">
                  <c:v>27.700000762939499</c:v>
                </c:pt>
                <c:pt idx="19">
                  <c:v>27.700000762939499</c:v>
                </c:pt>
                <c:pt idx="20">
                  <c:v>22.899999618530298</c:v>
                </c:pt>
                <c:pt idx="21">
                  <c:v>22.899999618530298</c:v>
                </c:pt>
                <c:pt idx="22">
                  <c:v>22.899999618530298</c:v>
                </c:pt>
                <c:pt idx="23">
                  <c:v>22.899999618530298</c:v>
                </c:pt>
                <c:pt idx="24">
                  <c:v>22.899999618530298</c:v>
                </c:pt>
                <c:pt idx="25">
                  <c:v>25.5</c:v>
                </c:pt>
                <c:pt idx="26">
                  <c:v>25.5</c:v>
                </c:pt>
                <c:pt idx="27">
                  <c:v>25.5</c:v>
                </c:pt>
                <c:pt idx="28">
                  <c:v>25.5</c:v>
                </c:pt>
                <c:pt idx="29">
                  <c:v>25.5</c:v>
                </c:pt>
                <c:pt idx="30">
                  <c:v>21.799999237060501</c:v>
                </c:pt>
                <c:pt idx="31">
                  <c:v>21.799999237060501</c:v>
                </c:pt>
                <c:pt idx="32">
                  <c:v>21.799999237060501</c:v>
                </c:pt>
                <c:pt idx="33">
                  <c:v>21.799999237060501</c:v>
                </c:pt>
                <c:pt idx="34">
                  <c:v>21.799999237060501</c:v>
                </c:pt>
                <c:pt idx="35">
                  <c:v>25.100000381469702</c:v>
                </c:pt>
                <c:pt idx="36">
                  <c:v>25.100000381469702</c:v>
                </c:pt>
                <c:pt idx="37">
                  <c:v>25.100000381469702</c:v>
                </c:pt>
                <c:pt idx="38">
                  <c:v>25.100000381469702</c:v>
                </c:pt>
                <c:pt idx="39">
                  <c:v>25.100000381469702</c:v>
                </c:pt>
                <c:pt idx="40">
                  <c:v>21.299999237060501</c:v>
                </c:pt>
                <c:pt idx="41">
                  <c:v>21.299999237060501</c:v>
                </c:pt>
                <c:pt idx="42">
                  <c:v>21.299999237060501</c:v>
                </c:pt>
                <c:pt idx="43">
                  <c:v>21.299999237060501</c:v>
                </c:pt>
                <c:pt idx="44">
                  <c:v>21.299999237060501</c:v>
                </c:pt>
                <c:pt idx="45">
                  <c:v>24.899999618530298</c:v>
                </c:pt>
                <c:pt idx="46">
                  <c:v>24.899999618530298</c:v>
                </c:pt>
                <c:pt idx="47">
                  <c:v>24.899999618530298</c:v>
                </c:pt>
                <c:pt idx="48">
                  <c:v>24.899999618530298</c:v>
                </c:pt>
                <c:pt idx="49">
                  <c:v>24.899999618530298</c:v>
                </c:pt>
                <c:pt idx="50">
                  <c:v>21.299999237060501</c:v>
                </c:pt>
                <c:pt idx="51">
                  <c:v>21.299999237060501</c:v>
                </c:pt>
                <c:pt idx="52">
                  <c:v>21.299999237060501</c:v>
                </c:pt>
                <c:pt idx="53">
                  <c:v>21.299999237060501</c:v>
                </c:pt>
                <c:pt idx="54">
                  <c:v>21.299999237060501</c:v>
                </c:pt>
                <c:pt idx="55">
                  <c:v>21.700000762939499</c:v>
                </c:pt>
                <c:pt idx="56">
                  <c:v>21.700000762939499</c:v>
                </c:pt>
                <c:pt idx="57">
                  <c:v>21.700000762939499</c:v>
                </c:pt>
                <c:pt idx="58">
                  <c:v>21.700000762939499</c:v>
                </c:pt>
                <c:pt idx="59">
                  <c:v>21.700000762939499</c:v>
                </c:pt>
                <c:pt idx="60">
                  <c:v>24.899999618530298</c:v>
                </c:pt>
                <c:pt idx="61">
                  <c:v>24.899999618530298</c:v>
                </c:pt>
                <c:pt idx="62">
                  <c:v>24.899999618530298</c:v>
                </c:pt>
                <c:pt idx="63">
                  <c:v>24.899999618530298</c:v>
                </c:pt>
                <c:pt idx="64">
                  <c:v>24.899999618530298</c:v>
                </c:pt>
                <c:pt idx="65">
                  <c:v>19.399999618530298</c:v>
                </c:pt>
                <c:pt idx="66">
                  <c:v>19.399999618530298</c:v>
                </c:pt>
                <c:pt idx="67">
                  <c:v>19.399999618530298</c:v>
                </c:pt>
                <c:pt idx="68">
                  <c:v>19.399999618530298</c:v>
                </c:pt>
                <c:pt idx="69">
                  <c:v>19.399999618530298</c:v>
                </c:pt>
                <c:pt idx="70">
                  <c:v>21</c:v>
                </c:pt>
                <c:pt idx="71">
                  <c:v>21</c:v>
                </c:pt>
                <c:pt idx="72">
                  <c:v>21</c:v>
                </c:pt>
                <c:pt idx="73">
                  <c:v>21</c:v>
                </c:pt>
                <c:pt idx="74">
                  <c:v>21</c:v>
                </c:pt>
                <c:pt idx="75">
                  <c:v>22.799999237060501</c:v>
                </c:pt>
                <c:pt idx="76">
                  <c:v>22.799999237060501</c:v>
                </c:pt>
                <c:pt idx="77">
                  <c:v>22.799999237060501</c:v>
                </c:pt>
                <c:pt idx="78">
                  <c:v>22.799999237060501</c:v>
                </c:pt>
                <c:pt idx="79">
                  <c:v>22.799999237060501</c:v>
                </c:pt>
                <c:pt idx="80">
                  <c:v>19.5</c:v>
                </c:pt>
                <c:pt idx="81">
                  <c:v>19.5</c:v>
                </c:pt>
                <c:pt idx="82">
                  <c:v>19.5</c:v>
                </c:pt>
                <c:pt idx="83">
                  <c:v>19.5</c:v>
                </c:pt>
                <c:pt idx="84">
                  <c:v>19.5</c:v>
                </c:pt>
                <c:pt idx="85">
                  <c:v>21</c:v>
                </c:pt>
                <c:pt idx="86">
                  <c:v>21</c:v>
                </c:pt>
                <c:pt idx="87">
                  <c:v>21</c:v>
                </c:pt>
                <c:pt idx="88">
                  <c:v>21</c:v>
                </c:pt>
                <c:pt idx="89">
                  <c:v>21</c:v>
                </c:pt>
                <c:pt idx="90">
                  <c:v>23</c:v>
                </c:pt>
                <c:pt idx="91">
                  <c:v>23</c:v>
                </c:pt>
                <c:pt idx="92">
                  <c:v>23</c:v>
                </c:pt>
                <c:pt idx="93">
                  <c:v>23</c:v>
                </c:pt>
                <c:pt idx="94">
                  <c:v>23</c:v>
                </c:pt>
                <c:pt idx="95">
                  <c:v>18.899999618530298</c:v>
                </c:pt>
                <c:pt idx="96">
                  <c:v>18.899999618530298</c:v>
                </c:pt>
                <c:pt idx="97">
                  <c:v>18.899999618530298</c:v>
                </c:pt>
                <c:pt idx="98">
                  <c:v>18.899999618530298</c:v>
                </c:pt>
                <c:pt idx="99">
                  <c:v>18.899999618530298</c:v>
                </c:pt>
                <c:pt idx="100">
                  <c:v>18.600000381469702</c:v>
                </c:pt>
                <c:pt idx="101">
                  <c:v>18.600000381469702</c:v>
                </c:pt>
                <c:pt idx="102">
                  <c:v>18.600000381469702</c:v>
                </c:pt>
                <c:pt idx="103">
                  <c:v>18.600000381469702</c:v>
                </c:pt>
                <c:pt idx="104">
                  <c:v>18.600000381469702</c:v>
                </c:pt>
                <c:pt idx="105">
                  <c:v>20.799999237060501</c:v>
                </c:pt>
                <c:pt idx="106">
                  <c:v>20.799999237060501</c:v>
                </c:pt>
                <c:pt idx="107">
                  <c:v>20.799999237060501</c:v>
                </c:pt>
                <c:pt idx="108">
                  <c:v>20.799999237060501</c:v>
                </c:pt>
                <c:pt idx="109">
                  <c:v>20.799999237060501</c:v>
                </c:pt>
                <c:pt idx="110">
                  <c:v>21.600000381469702</c:v>
                </c:pt>
                <c:pt idx="111">
                  <c:v>21.600000381469702</c:v>
                </c:pt>
                <c:pt idx="112">
                  <c:v>21.600000381469702</c:v>
                </c:pt>
                <c:pt idx="113">
                  <c:v>21.600000381469702</c:v>
                </c:pt>
                <c:pt idx="114">
                  <c:v>21.600000381469702</c:v>
                </c:pt>
                <c:pt idx="115">
                  <c:v>18.799999237060501</c:v>
                </c:pt>
                <c:pt idx="116">
                  <c:v>18.799999237060501</c:v>
                </c:pt>
                <c:pt idx="117">
                  <c:v>18.799999237060501</c:v>
                </c:pt>
                <c:pt idx="118">
                  <c:v>18.799999237060501</c:v>
                </c:pt>
                <c:pt idx="119">
                  <c:v>18.799999237060501</c:v>
                </c:pt>
                <c:pt idx="120">
                  <c:v>19.399999618530298</c:v>
                </c:pt>
                <c:pt idx="121">
                  <c:v>19.399999618530298</c:v>
                </c:pt>
                <c:pt idx="122">
                  <c:v>19.399999618530298</c:v>
                </c:pt>
                <c:pt idx="123">
                  <c:v>19.399999618530298</c:v>
                </c:pt>
                <c:pt idx="124">
                  <c:v>19.399999618530298</c:v>
                </c:pt>
                <c:pt idx="125">
                  <c:v>20.5</c:v>
                </c:pt>
                <c:pt idx="126">
                  <c:v>20.5</c:v>
                </c:pt>
                <c:pt idx="127">
                  <c:v>20.5</c:v>
                </c:pt>
                <c:pt idx="128">
                  <c:v>20.5</c:v>
                </c:pt>
                <c:pt idx="129">
                  <c:v>20.5</c:v>
                </c:pt>
                <c:pt idx="130">
                  <c:v>17.5</c:v>
                </c:pt>
                <c:pt idx="131">
                  <c:v>17.5</c:v>
                </c:pt>
                <c:pt idx="132">
                  <c:v>17.5</c:v>
                </c:pt>
                <c:pt idx="133">
                  <c:v>17.5</c:v>
                </c:pt>
                <c:pt idx="134">
                  <c:v>17.5</c:v>
                </c:pt>
                <c:pt idx="135">
                  <c:v>18</c:v>
                </c:pt>
                <c:pt idx="136">
                  <c:v>18</c:v>
                </c:pt>
                <c:pt idx="137">
                  <c:v>18</c:v>
                </c:pt>
                <c:pt idx="138">
                  <c:v>18</c:v>
                </c:pt>
                <c:pt idx="139">
                  <c:v>18</c:v>
                </c:pt>
                <c:pt idx="140">
                  <c:v>19.399999618530298</c:v>
                </c:pt>
                <c:pt idx="141">
                  <c:v>19.399999618530298</c:v>
                </c:pt>
                <c:pt idx="142">
                  <c:v>19.399999618530298</c:v>
                </c:pt>
                <c:pt idx="143">
                  <c:v>19.399999618530298</c:v>
                </c:pt>
                <c:pt idx="144">
                  <c:v>19.399999618530298</c:v>
                </c:pt>
                <c:pt idx="145">
                  <c:v>20.600000381469702</c:v>
                </c:pt>
                <c:pt idx="146">
                  <c:v>20.600000381469702</c:v>
                </c:pt>
                <c:pt idx="147">
                  <c:v>20.600000381469702</c:v>
                </c:pt>
                <c:pt idx="148">
                  <c:v>20.600000381469702</c:v>
                </c:pt>
                <c:pt idx="149">
                  <c:v>20.600000381469702</c:v>
                </c:pt>
                <c:pt idx="150">
                  <c:v>18.100000381469702</c:v>
                </c:pt>
                <c:pt idx="151">
                  <c:v>18.100000381469702</c:v>
                </c:pt>
                <c:pt idx="152">
                  <c:v>18.100000381469702</c:v>
                </c:pt>
                <c:pt idx="153">
                  <c:v>18.100000381469702</c:v>
                </c:pt>
                <c:pt idx="154">
                  <c:v>18.100000381469702</c:v>
                </c:pt>
                <c:pt idx="155">
                  <c:v>18.299999237060501</c:v>
                </c:pt>
                <c:pt idx="156">
                  <c:v>18.299999237060501</c:v>
                </c:pt>
                <c:pt idx="157">
                  <c:v>18.299999237060501</c:v>
                </c:pt>
                <c:pt idx="158">
                  <c:v>18.299999237060501</c:v>
                </c:pt>
                <c:pt idx="159">
                  <c:v>18.299999237060501</c:v>
                </c:pt>
                <c:pt idx="160">
                  <c:v>19.600000381469702</c:v>
                </c:pt>
                <c:pt idx="161">
                  <c:v>19.600000381469702</c:v>
                </c:pt>
                <c:pt idx="162">
                  <c:v>19.600000381469702</c:v>
                </c:pt>
                <c:pt idx="163">
                  <c:v>19.600000381469702</c:v>
                </c:pt>
                <c:pt idx="164">
                  <c:v>19.600000381469702</c:v>
                </c:pt>
                <c:pt idx="165">
                  <c:v>20.5</c:v>
                </c:pt>
                <c:pt idx="166">
                  <c:v>20.5</c:v>
                </c:pt>
                <c:pt idx="167">
                  <c:v>20.5</c:v>
                </c:pt>
                <c:pt idx="168">
                  <c:v>20.5</c:v>
                </c:pt>
                <c:pt idx="169">
                  <c:v>20.5</c:v>
                </c:pt>
                <c:pt idx="170">
                  <c:v>19.200000762939499</c:v>
                </c:pt>
                <c:pt idx="171">
                  <c:v>19.200000762939499</c:v>
                </c:pt>
                <c:pt idx="172">
                  <c:v>19.200000762939499</c:v>
                </c:pt>
                <c:pt idx="173">
                  <c:v>19.200000762939499</c:v>
                </c:pt>
                <c:pt idx="174">
                  <c:v>19.200000762939499</c:v>
                </c:pt>
                <c:pt idx="175">
                  <c:v>18.200000762939499</c:v>
                </c:pt>
                <c:pt idx="176">
                  <c:v>18.200000762939499</c:v>
                </c:pt>
                <c:pt idx="177">
                  <c:v>18.200000762939499</c:v>
                </c:pt>
                <c:pt idx="178">
                  <c:v>18.200000762939499</c:v>
                </c:pt>
                <c:pt idx="179">
                  <c:v>18.200000762939499</c:v>
                </c:pt>
                <c:pt idx="180">
                  <c:v>18.799999237060501</c:v>
                </c:pt>
                <c:pt idx="181">
                  <c:v>18.799999237060501</c:v>
                </c:pt>
                <c:pt idx="182">
                  <c:v>18.799999237060501</c:v>
                </c:pt>
                <c:pt idx="183">
                  <c:v>18.799999237060501</c:v>
                </c:pt>
                <c:pt idx="184">
                  <c:v>18.799999237060501</c:v>
                </c:pt>
                <c:pt idx="185">
                  <c:v>19.399999618530298</c:v>
                </c:pt>
                <c:pt idx="186">
                  <c:v>19.399999618530298</c:v>
                </c:pt>
                <c:pt idx="187">
                  <c:v>19.399999618530298</c:v>
                </c:pt>
                <c:pt idx="188">
                  <c:v>19.399999618530298</c:v>
                </c:pt>
                <c:pt idx="189">
                  <c:v>19.399999618530298</c:v>
                </c:pt>
                <c:pt idx="190">
                  <c:v>17.299999237060501</c:v>
                </c:pt>
                <c:pt idx="191">
                  <c:v>17.299999237060501</c:v>
                </c:pt>
                <c:pt idx="192">
                  <c:v>17.299999237060501</c:v>
                </c:pt>
                <c:pt idx="193">
                  <c:v>17.299999237060501</c:v>
                </c:pt>
                <c:pt idx="194">
                  <c:v>17.299999237060501</c:v>
                </c:pt>
                <c:pt idx="195">
                  <c:v>17.899999618530298</c:v>
                </c:pt>
                <c:pt idx="196">
                  <c:v>17.899999618530298</c:v>
                </c:pt>
                <c:pt idx="197">
                  <c:v>17.899999618530298</c:v>
                </c:pt>
                <c:pt idx="198">
                  <c:v>17.899999618530298</c:v>
                </c:pt>
                <c:pt idx="199">
                  <c:v>17.899999618530298</c:v>
                </c:pt>
                <c:pt idx="200">
                  <c:v>18.799999237060501</c:v>
                </c:pt>
                <c:pt idx="201">
                  <c:v>18.799999237060501</c:v>
                </c:pt>
                <c:pt idx="202">
                  <c:v>18.799999237060501</c:v>
                </c:pt>
                <c:pt idx="203">
                  <c:v>18.799999237060501</c:v>
                </c:pt>
                <c:pt idx="204">
                  <c:v>18.799999237060501</c:v>
                </c:pt>
                <c:pt idx="205">
                  <c:v>19.700000762939499</c:v>
                </c:pt>
                <c:pt idx="206">
                  <c:v>19.700000762939499</c:v>
                </c:pt>
                <c:pt idx="207">
                  <c:v>19.700000762939499</c:v>
                </c:pt>
                <c:pt idx="208">
                  <c:v>19.700000762939499</c:v>
                </c:pt>
                <c:pt idx="209">
                  <c:v>19.700000762939499</c:v>
                </c:pt>
                <c:pt idx="210">
                  <c:v>17.299999237060501</c:v>
                </c:pt>
                <c:pt idx="211">
                  <c:v>17.299999237060501</c:v>
                </c:pt>
                <c:pt idx="212">
                  <c:v>17.299999237060501</c:v>
                </c:pt>
                <c:pt idx="213">
                  <c:v>17.299999237060501</c:v>
                </c:pt>
                <c:pt idx="214">
                  <c:v>17.299999237060501</c:v>
                </c:pt>
                <c:pt idx="215">
                  <c:v>17.700000762939499</c:v>
                </c:pt>
                <c:pt idx="216">
                  <c:v>17.700000762939499</c:v>
                </c:pt>
                <c:pt idx="217">
                  <c:v>17.700000762939499</c:v>
                </c:pt>
                <c:pt idx="218">
                  <c:v>17.700000762939499</c:v>
                </c:pt>
                <c:pt idx="219">
                  <c:v>17.700000762939499</c:v>
                </c:pt>
                <c:pt idx="220">
                  <c:v>18.700000762939499</c:v>
                </c:pt>
                <c:pt idx="221">
                  <c:v>18.700000762939499</c:v>
                </c:pt>
                <c:pt idx="222">
                  <c:v>18.700000762939499</c:v>
                </c:pt>
                <c:pt idx="223">
                  <c:v>18.700000762939499</c:v>
                </c:pt>
                <c:pt idx="224">
                  <c:v>18.700000762939499</c:v>
                </c:pt>
                <c:pt idx="225">
                  <c:v>19.5</c:v>
                </c:pt>
                <c:pt idx="226">
                  <c:v>19.5</c:v>
                </c:pt>
                <c:pt idx="227">
                  <c:v>19.5</c:v>
                </c:pt>
                <c:pt idx="228">
                  <c:v>19.5</c:v>
                </c:pt>
                <c:pt idx="229">
                  <c:v>19.5</c:v>
                </c:pt>
                <c:pt idx="230">
                  <c:v>17.399999618530298</c:v>
                </c:pt>
                <c:pt idx="231">
                  <c:v>17.399999618530298</c:v>
                </c:pt>
                <c:pt idx="232">
                  <c:v>17.399999618530298</c:v>
                </c:pt>
                <c:pt idx="233">
                  <c:v>17.399999618530298</c:v>
                </c:pt>
                <c:pt idx="234">
                  <c:v>17.399999618530298</c:v>
                </c:pt>
                <c:pt idx="235">
                  <c:v>17.700000762939499</c:v>
                </c:pt>
                <c:pt idx="236">
                  <c:v>17.700000762939499</c:v>
                </c:pt>
                <c:pt idx="237">
                  <c:v>17.700000762939499</c:v>
                </c:pt>
                <c:pt idx="238">
                  <c:v>17.700000762939499</c:v>
                </c:pt>
                <c:pt idx="239">
                  <c:v>17.700000762939499</c:v>
                </c:pt>
                <c:pt idx="240">
                  <c:v>19.200000762939499</c:v>
                </c:pt>
                <c:pt idx="241">
                  <c:v>19.200000762939499</c:v>
                </c:pt>
                <c:pt idx="242">
                  <c:v>19.200000762939499</c:v>
                </c:pt>
                <c:pt idx="243">
                  <c:v>19.200000762939499</c:v>
                </c:pt>
                <c:pt idx="244">
                  <c:v>19.200000762939499</c:v>
                </c:pt>
                <c:pt idx="245">
                  <c:v>19.5</c:v>
                </c:pt>
                <c:pt idx="246">
                  <c:v>19.5</c:v>
                </c:pt>
                <c:pt idx="247">
                  <c:v>19.5</c:v>
                </c:pt>
                <c:pt idx="248">
                  <c:v>19.5</c:v>
                </c:pt>
                <c:pt idx="249">
                  <c:v>19.5</c:v>
                </c:pt>
              </c:numCache>
            </c:numRef>
          </c:yVal>
          <c:smooth val="0"/>
          <c:extLst xmlns:c16r2="http://schemas.microsoft.com/office/drawing/2015/06/chart">
            <c:ext xmlns:c16="http://schemas.microsoft.com/office/drawing/2014/chart" uri="{C3380CC4-5D6E-409C-BE32-E72D297353CC}">
              <c16:uniqueId val="{00000000-1E7D-49A6-A8C1-F48D0167EBA4}"/>
            </c:ext>
          </c:extLst>
        </c:ser>
        <c:dLbls>
          <c:showLegendKey val="0"/>
          <c:showVal val="0"/>
          <c:showCatName val="0"/>
          <c:showSerName val="0"/>
          <c:showPercent val="0"/>
          <c:showBubbleSize val="0"/>
        </c:dLbls>
        <c:axId val="590214496"/>
        <c:axId val="590215056"/>
      </c:scatterChart>
      <c:valAx>
        <c:axId val="590214496"/>
        <c:scaling>
          <c:orientation val="minMax"/>
        </c:scaling>
        <c:delete val="0"/>
        <c:axPos val="b"/>
        <c:numFmt formatCode="General" sourceLinked="1"/>
        <c:majorTickMark val="out"/>
        <c:minorTickMark val="none"/>
        <c:tickLblPos val="nextTo"/>
        <c:crossAx val="590215056"/>
        <c:crosses val="autoZero"/>
        <c:crossBetween val="midCat"/>
      </c:valAx>
      <c:valAx>
        <c:axId val="590215056"/>
        <c:scaling>
          <c:orientation val="minMax"/>
        </c:scaling>
        <c:delete val="0"/>
        <c:axPos val="l"/>
        <c:majorGridlines/>
        <c:numFmt formatCode="General" sourceLinked="1"/>
        <c:majorTickMark val="out"/>
        <c:minorTickMark val="none"/>
        <c:tickLblPos val="nextTo"/>
        <c:crossAx val="5902144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Compressors!$BG$37</c:f>
              <c:strCache>
                <c:ptCount val="1"/>
                <c:pt idx="0">
                  <c:v>SpecPackagePower</c:v>
                </c:pt>
              </c:strCache>
            </c:strRef>
          </c:tx>
          <c:spPr>
            <a:ln w="19050">
              <a:noFill/>
            </a:ln>
          </c:spPr>
          <c:xVal>
            <c:numRef>
              <c:f>Compressors!$BF$188:$BF$257</c:f>
              <c:numCache>
                <c:formatCode>General</c:formatCode>
                <c:ptCount val="7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150</c:v>
                </c:pt>
                <c:pt idx="31">
                  <c:v>150</c:v>
                </c:pt>
                <c:pt idx="32">
                  <c:v>150</c:v>
                </c:pt>
                <c:pt idx="33">
                  <c:v>150</c:v>
                </c:pt>
                <c:pt idx="34">
                  <c:v>150</c:v>
                </c:pt>
                <c:pt idx="35">
                  <c:v>150</c:v>
                </c:pt>
                <c:pt idx="36">
                  <c:v>150</c:v>
                </c:pt>
                <c:pt idx="37">
                  <c:v>150</c:v>
                </c:pt>
                <c:pt idx="38">
                  <c:v>150</c:v>
                </c:pt>
                <c:pt idx="39">
                  <c:v>150</c:v>
                </c:pt>
                <c:pt idx="40">
                  <c:v>150</c:v>
                </c:pt>
                <c:pt idx="41">
                  <c:v>150</c:v>
                </c:pt>
                <c:pt idx="42">
                  <c:v>150</c:v>
                </c:pt>
                <c:pt idx="43">
                  <c:v>150</c:v>
                </c:pt>
                <c:pt idx="44">
                  <c:v>150</c:v>
                </c:pt>
                <c:pt idx="45">
                  <c:v>200</c:v>
                </c:pt>
                <c:pt idx="46">
                  <c:v>200</c:v>
                </c:pt>
                <c:pt idx="47">
                  <c:v>200</c:v>
                </c:pt>
                <c:pt idx="48">
                  <c:v>200</c:v>
                </c:pt>
                <c:pt idx="49">
                  <c:v>200</c:v>
                </c:pt>
                <c:pt idx="50">
                  <c:v>200</c:v>
                </c:pt>
                <c:pt idx="51">
                  <c:v>200</c:v>
                </c:pt>
                <c:pt idx="52">
                  <c:v>200</c:v>
                </c:pt>
                <c:pt idx="53">
                  <c:v>200</c:v>
                </c:pt>
                <c:pt idx="54">
                  <c:v>200</c:v>
                </c:pt>
                <c:pt idx="55">
                  <c:v>200</c:v>
                </c:pt>
                <c:pt idx="56">
                  <c:v>200</c:v>
                </c:pt>
                <c:pt idx="57">
                  <c:v>200</c:v>
                </c:pt>
                <c:pt idx="58">
                  <c:v>200</c:v>
                </c:pt>
                <c:pt idx="59">
                  <c:v>200</c:v>
                </c:pt>
                <c:pt idx="60">
                  <c:v>250</c:v>
                </c:pt>
                <c:pt idx="61">
                  <c:v>250</c:v>
                </c:pt>
                <c:pt idx="62">
                  <c:v>250</c:v>
                </c:pt>
                <c:pt idx="63">
                  <c:v>250</c:v>
                </c:pt>
                <c:pt idx="64">
                  <c:v>250</c:v>
                </c:pt>
                <c:pt idx="65">
                  <c:v>250</c:v>
                </c:pt>
                <c:pt idx="66">
                  <c:v>250</c:v>
                </c:pt>
                <c:pt idx="67">
                  <c:v>250</c:v>
                </c:pt>
                <c:pt idx="68">
                  <c:v>250</c:v>
                </c:pt>
                <c:pt idx="69">
                  <c:v>250</c:v>
                </c:pt>
              </c:numCache>
            </c:numRef>
          </c:xVal>
          <c:yVal>
            <c:numRef>
              <c:f>Compressors!$BG$188:$BG$257</c:f>
              <c:numCache>
                <c:formatCode>General</c:formatCode>
                <c:ptCount val="70"/>
                <c:pt idx="0">
                  <c:v>16</c:v>
                </c:pt>
                <c:pt idx="1">
                  <c:v>16</c:v>
                </c:pt>
                <c:pt idx="2">
                  <c:v>16</c:v>
                </c:pt>
                <c:pt idx="3">
                  <c:v>16</c:v>
                </c:pt>
                <c:pt idx="4">
                  <c:v>16</c:v>
                </c:pt>
                <c:pt idx="5">
                  <c:v>17.399999618530298</c:v>
                </c:pt>
                <c:pt idx="6">
                  <c:v>17.399999618530298</c:v>
                </c:pt>
                <c:pt idx="7">
                  <c:v>17.399999618530298</c:v>
                </c:pt>
                <c:pt idx="8">
                  <c:v>17.399999618530298</c:v>
                </c:pt>
                <c:pt idx="9">
                  <c:v>17.399999618530298</c:v>
                </c:pt>
                <c:pt idx="10">
                  <c:v>17.799999237060501</c:v>
                </c:pt>
                <c:pt idx="11">
                  <c:v>17.799999237060501</c:v>
                </c:pt>
                <c:pt idx="12">
                  <c:v>17.799999237060501</c:v>
                </c:pt>
                <c:pt idx="13">
                  <c:v>17.799999237060501</c:v>
                </c:pt>
                <c:pt idx="14">
                  <c:v>17.799999237060501</c:v>
                </c:pt>
                <c:pt idx="15">
                  <c:v>16.100000381469702</c:v>
                </c:pt>
                <c:pt idx="16">
                  <c:v>16.100000381469702</c:v>
                </c:pt>
                <c:pt idx="17">
                  <c:v>16.100000381469702</c:v>
                </c:pt>
                <c:pt idx="18">
                  <c:v>16.100000381469702</c:v>
                </c:pt>
                <c:pt idx="19">
                  <c:v>16.100000381469702</c:v>
                </c:pt>
                <c:pt idx="20">
                  <c:v>17.399999618530298</c:v>
                </c:pt>
                <c:pt idx="21">
                  <c:v>17.399999618530298</c:v>
                </c:pt>
                <c:pt idx="22">
                  <c:v>17.399999618530298</c:v>
                </c:pt>
                <c:pt idx="23">
                  <c:v>17.399999618530298</c:v>
                </c:pt>
                <c:pt idx="24">
                  <c:v>17.399999618530298</c:v>
                </c:pt>
                <c:pt idx="25">
                  <c:v>17.899999618530298</c:v>
                </c:pt>
                <c:pt idx="26">
                  <c:v>17.899999618530298</c:v>
                </c:pt>
                <c:pt idx="27">
                  <c:v>17.899999618530298</c:v>
                </c:pt>
                <c:pt idx="28">
                  <c:v>17.899999618530298</c:v>
                </c:pt>
                <c:pt idx="29">
                  <c:v>17.899999618530298</c:v>
                </c:pt>
                <c:pt idx="30">
                  <c:v>16</c:v>
                </c:pt>
                <c:pt idx="31">
                  <c:v>16</c:v>
                </c:pt>
                <c:pt idx="32">
                  <c:v>16</c:v>
                </c:pt>
                <c:pt idx="33">
                  <c:v>16</c:v>
                </c:pt>
                <c:pt idx="34">
                  <c:v>16</c:v>
                </c:pt>
                <c:pt idx="35">
                  <c:v>17.5</c:v>
                </c:pt>
                <c:pt idx="36">
                  <c:v>17.5</c:v>
                </c:pt>
                <c:pt idx="37">
                  <c:v>17.5</c:v>
                </c:pt>
                <c:pt idx="38">
                  <c:v>17.5</c:v>
                </c:pt>
                <c:pt idx="39">
                  <c:v>17.5</c:v>
                </c:pt>
                <c:pt idx="40">
                  <c:v>17.799999237060501</c:v>
                </c:pt>
                <c:pt idx="41">
                  <c:v>17.799999237060501</c:v>
                </c:pt>
                <c:pt idx="42">
                  <c:v>17.799999237060501</c:v>
                </c:pt>
                <c:pt idx="43">
                  <c:v>17.799999237060501</c:v>
                </c:pt>
                <c:pt idx="44">
                  <c:v>17.799999237060501</c:v>
                </c:pt>
                <c:pt idx="45">
                  <c:v>15.8999996185303</c:v>
                </c:pt>
                <c:pt idx="46">
                  <c:v>15.8999996185303</c:v>
                </c:pt>
                <c:pt idx="47">
                  <c:v>15.8999996185303</c:v>
                </c:pt>
                <c:pt idx="48">
                  <c:v>15.8999996185303</c:v>
                </c:pt>
                <c:pt idx="49">
                  <c:v>15.8999996185303</c:v>
                </c:pt>
                <c:pt idx="50">
                  <c:v>17.600000381469702</c:v>
                </c:pt>
                <c:pt idx="51">
                  <c:v>17.600000381469702</c:v>
                </c:pt>
                <c:pt idx="52">
                  <c:v>17.600000381469702</c:v>
                </c:pt>
                <c:pt idx="53">
                  <c:v>17.600000381469702</c:v>
                </c:pt>
                <c:pt idx="54">
                  <c:v>17.600000381469702</c:v>
                </c:pt>
                <c:pt idx="55">
                  <c:v>17.600000381469702</c:v>
                </c:pt>
                <c:pt idx="56">
                  <c:v>17.600000381469702</c:v>
                </c:pt>
                <c:pt idx="57">
                  <c:v>17.600000381469702</c:v>
                </c:pt>
                <c:pt idx="58">
                  <c:v>17.600000381469702</c:v>
                </c:pt>
                <c:pt idx="59">
                  <c:v>17.600000381469702</c:v>
                </c:pt>
                <c:pt idx="60">
                  <c:v>15.800000190734901</c:v>
                </c:pt>
                <c:pt idx="61">
                  <c:v>15.800000190734901</c:v>
                </c:pt>
                <c:pt idx="62">
                  <c:v>15.800000190734901</c:v>
                </c:pt>
                <c:pt idx="63">
                  <c:v>15.800000190734901</c:v>
                </c:pt>
                <c:pt idx="64">
                  <c:v>15.800000190734901</c:v>
                </c:pt>
                <c:pt idx="65">
                  <c:v>17.5</c:v>
                </c:pt>
                <c:pt idx="66">
                  <c:v>17.5</c:v>
                </c:pt>
                <c:pt idx="67">
                  <c:v>17.5</c:v>
                </c:pt>
                <c:pt idx="68">
                  <c:v>17.5</c:v>
                </c:pt>
                <c:pt idx="69">
                  <c:v>17.5</c:v>
                </c:pt>
              </c:numCache>
            </c:numRef>
          </c:yVal>
          <c:smooth val="0"/>
          <c:extLst xmlns:c16r2="http://schemas.microsoft.com/office/drawing/2015/06/chart">
            <c:ext xmlns:c16="http://schemas.microsoft.com/office/drawing/2014/chart" uri="{C3380CC4-5D6E-409C-BE32-E72D297353CC}">
              <c16:uniqueId val="{00000000-FD4D-4AC8-B157-2BF573E5D1EE}"/>
            </c:ext>
          </c:extLst>
        </c:ser>
        <c:dLbls>
          <c:showLegendKey val="0"/>
          <c:showVal val="0"/>
          <c:showCatName val="0"/>
          <c:showSerName val="0"/>
          <c:showPercent val="0"/>
          <c:showBubbleSize val="0"/>
        </c:dLbls>
        <c:axId val="590217296"/>
        <c:axId val="590217856"/>
      </c:scatterChart>
      <c:valAx>
        <c:axId val="590217296"/>
        <c:scaling>
          <c:orientation val="minMax"/>
        </c:scaling>
        <c:delete val="0"/>
        <c:axPos val="b"/>
        <c:numFmt formatCode="General" sourceLinked="1"/>
        <c:majorTickMark val="out"/>
        <c:minorTickMark val="none"/>
        <c:tickLblPos val="nextTo"/>
        <c:crossAx val="590217856"/>
        <c:crosses val="autoZero"/>
        <c:crossBetween val="midCat"/>
      </c:valAx>
      <c:valAx>
        <c:axId val="590217856"/>
        <c:scaling>
          <c:orientation val="minMax"/>
        </c:scaling>
        <c:delete val="0"/>
        <c:axPos val="l"/>
        <c:majorGridlines/>
        <c:numFmt formatCode="General" sourceLinked="1"/>
        <c:majorTickMark val="out"/>
        <c:minorTickMark val="none"/>
        <c:tickLblPos val="nextTo"/>
        <c:crossAx val="590217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Energy Costs vs. Power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High Pneumatic</c:v>
          </c:tx>
          <c:spPr>
            <a:solidFill>
              <a:schemeClr val="accent2"/>
            </a:solidFill>
            <a:ln>
              <a:noFill/>
            </a:ln>
            <a:effectLst/>
          </c:spPr>
          <c:invertIfNegative val="0"/>
          <c:cat>
            <c:strLit>
              <c:ptCount val="1"/>
              <c:pt idx="0">
                <c:v>Power Source</c:v>
              </c:pt>
            </c:strLit>
          </c:cat>
          <c:val>
            <c:numRef>
              <c:f>CostsandSavings!$B$12</c:f>
              <c:numCache>
                <c:formatCode>"$"#,##0</c:formatCode>
                <c:ptCount val="1"/>
                <c:pt idx="0">
                  <c:v>212.16304687499996</c:v>
                </c:pt>
              </c:numCache>
            </c:numRef>
          </c:val>
          <c:extLst xmlns:c16r2="http://schemas.microsoft.com/office/drawing/2015/06/chart">
            <c:ext xmlns:c16="http://schemas.microsoft.com/office/drawing/2014/chart" uri="{C3380CC4-5D6E-409C-BE32-E72D297353CC}">
              <c16:uniqueId val="{00000000-036A-40EC-9E78-B4DC625190A2}"/>
            </c:ext>
          </c:extLst>
        </c:ser>
        <c:ser>
          <c:idx val="1"/>
          <c:order val="1"/>
          <c:tx>
            <c:v>Low Pneumatic</c:v>
          </c:tx>
          <c:spPr>
            <a:solidFill>
              <a:schemeClr val="accent4"/>
            </a:solidFill>
            <a:ln>
              <a:noFill/>
            </a:ln>
            <a:effectLst/>
          </c:spPr>
          <c:invertIfNegative val="0"/>
          <c:cat>
            <c:strLit>
              <c:ptCount val="1"/>
              <c:pt idx="0">
                <c:v>Power Source</c:v>
              </c:pt>
            </c:strLit>
          </c:cat>
          <c:val>
            <c:numRef>
              <c:f>CostsandSavings!$D$12</c:f>
              <c:numCache>
                <c:formatCode>"$"#,##0</c:formatCode>
                <c:ptCount val="1"/>
                <c:pt idx="0">
                  <c:v>141.44203124999996</c:v>
                </c:pt>
              </c:numCache>
            </c:numRef>
          </c:val>
          <c:extLst xmlns:c16r2="http://schemas.microsoft.com/office/drawing/2015/06/chart">
            <c:ext xmlns:c16="http://schemas.microsoft.com/office/drawing/2014/chart" uri="{C3380CC4-5D6E-409C-BE32-E72D297353CC}">
              <c16:uniqueId val="{00000001-036A-40EC-9E78-B4DC625190A2}"/>
            </c:ext>
          </c:extLst>
        </c:ser>
        <c:ser>
          <c:idx val="2"/>
          <c:order val="2"/>
          <c:tx>
            <c:v>Electric</c:v>
          </c:tx>
          <c:spPr>
            <a:solidFill>
              <a:schemeClr val="accent6"/>
            </a:solidFill>
            <a:ln>
              <a:noFill/>
            </a:ln>
            <a:effectLst/>
          </c:spPr>
          <c:invertIfNegative val="0"/>
          <c:cat>
            <c:strLit>
              <c:ptCount val="1"/>
              <c:pt idx="0">
                <c:v>Power Source</c:v>
              </c:pt>
            </c:strLit>
          </c:cat>
          <c:val>
            <c:numRef>
              <c:f>CostsandSavings!$B$13</c:f>
              <c:numCache>
                <c:formatCode>"$"#,##0</c:formatCode>
                <c:ptCount val="1"/>
                <c:pt idx="0">
                  <c:v>14.788799999999998</c:v>
                </c:pt>
              </c:numCache>
            </c:numRef>
          </c:val>
          <c:extLst xmlns:c16r2="http://schemas.microsoft.com/office/drawing/2015/06/chart">
            <c:ext xmlns:c16="http://schemas.microsoft.com/office/drawing/2014/chart" uri="{C3380CC4-5D6E-409C-BE32-E72D297353CC}">
              <c16:uniqueId val="{00000002-036A-40EC-9E78-B4DC625190A2}"/>
            </c:ext>
          </c:extLst>
        </c:ser>
        <c:dLbls>
          <c:showLegendKey val="0"/>
          <c:showVal val="0"/>
          <c:showCatName val="0"/>
          <c:showSerName val="0"/>
          <c:showPercent val="0"/>
          <c:showBubbleSize val="0"/>
        </c:dLbls>
        <c:gapWidth val="219"/>
        <c:overlap val="-27"/>
        <c:axId val="594082912"/>
        <c:axId val="594083472"/>
      </c:barChart>
      <c:catAx>
        <c:axId val="59408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083472"/>
        <c:crosses val="autoZero"/>
        <c:auto val="1"/>
        <c:lblAlgn val="ctr"/>
        <c:lblOffset val="100"/>
        <c:noMultiLvlLbl val="0"/>
      </c:catAx>
      <c:valAx>
        <c:axId val="5940834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08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strRef>
              <c:f>CostsandSavings!$B$40</c:f>
              <c:strCache>
                <c:ptCount val="1"/>
                <c:pt idx="0">
                  <c:v>Inefficient Compressor</c:v>
                </c:pt>
              </c:strCache>
            </c:strRef>
          </c:tx>
          <c:spPr>
            <a:ln>
              <a:solidFill>
                <a:schemeClr val="tx1"/>
              </a:solidFill>
            </a:ln>
          </c:spPr>
          <c:marker>
            <c:symbol val="none"/>
          </c:marker>
          <c:xVal>
            <c:numRef>
              <c:f>CostsandSavings!$A$41:$A$101</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CostsandSavings!$B$41:$B$101</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0-E25D-445A-AF53-B96B15045AE5}"/>
            </c:ext>
          </c:extLst>
        </c:ser>
        <c:ser>
          <c:idx val="2"/>
          <c:order val="1"/>
          <c:tx>
            <c:strRef>
              <c:f>CostsandSavings!$C$40</c:f>
              <c:strCache>
                <c:ptCount val="1"/>
                <c:pt idx="0">
                  <c:v>Medium Estimate</c:v>
                </c:pt>
              </c:strCache>
            </c:strRef>
          </c:tx>
          <c:spPr>
            <a:ln>
              <a:solidFill>
                <a:schemeClr val="accent1"/>
              </a:solidFill>
            </a:ln>
          </c:spPr>
          <c:marker>
            <c:symbol val="none"/>
          </c:marker>
          <c:xVal>
            <c:numRef>
              <c:f>CostsandSavings!$A$41:$A$101</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CostsandSavings!$C$41:$C$101</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1-E25D-445A-AF53-B96B15045AE5}"/>
            </c:ext>
          </c:extLst>
        </c:ser>
        <c:ser>
          <c:idx val="3"/>
          <c:order val="2"/>
          <c:tx>
            <c:strRef>
              <c:f>CostsandSavings!$D$40</c:f>
              <c:strCache>
                <c:ptCount val="1"/>
                <c:pt idx="0">
                  <c:v>Efficient Compressor</c:v>
                </c:pt>
              </c:strCache>
            </c:strRef>
          </c:tx>
          <c:spPr>
            <a:ln>
              <a:solidFill>
                <a:srgbClr val="FF0000"/>
              </a:solidFill>
            </a:ln>
          </c:spPr>
          <c:marker>
            <c:symbol val="none"/>
          </c:marker>
          <c:xVal>
            <c:numRef>
              <c:f>CostsandSavings!$A$41:$A$101</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CostsandSavings!$D$41:$D$101</c:f>
              <c:numCache>
                <c:formatCode>"$"#,##0_);[Red]\("$"#,##0\)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xmlns:c16r2="http://schemas.microsoft.com/office/drawing/2015/06/chart">
            <c:ext xmlns:c16="http://schemas.microsoft.com/office/drawing/2014/chart" uri="{C3380CC4-5D6E-409C-BE32-E72D297353CC}">
              <c16:uniqueId val="{00000002-E25D-445A-AF53-B96B15045AE5}"/>
            </c:ext>
          </c:extLst>
        </c:ser>
        <c:ser>
          <c:idx val="0"/>
          <c:order val="3"/>
          <c:tx>
            <c:v>Line</c:v>
          </c:tx>
          <c:marker>
            <c:symbol val="none"/>
          </c:marker>
          <c:errBars>
            <c:errDir val="y"/>
            <c:errBarType val="plus"/>
            <c:errValType val="cust"/>
            <c:noEndCap val="1"/>
            <c:plus>
              <c:numRef>
                <c:f>CostsandSavings!$B$101</c:f>
                <c:numCache>
                  <c:formatCode>General</c:formatCode>
                  <c:ptCount val="1"/>
                  <c:pt idx="0">
                    <c:v>0</c:v>
                  </c:pt>
                </c:numCache>
              </c:numRef>
            </c:plus>
            <c:minus>
              <c:numLit>
                <c:formatCode>General</c:formatCode>
                <c:ptCount val="1"/>
                <c:pt idx="0">
                  <c:v>0</c:v>
                </c:pt>
              </c:numLit>
            </c:minus>
            <c:spPr>
              <a:ln w="12700">
                <a:solidFill>
                  <a:schemeClr val="tx1"/>
                </a:solidFill>
                <a:prstDash val="lgDash"/>
              </a:ln>
            </c:spPr>
          </c:errBars>
          <c:xVal>
            <c:numRef>
              <c:f>CostsandSavings!$E$34</c:f>
              <c:numCache>
                <c:formatCode>0.0</c:formatCode>
                <c:ptCount val="1"/>
                <c:pt idx="0">
                  <c:v>3.2</c:v>
                </c:pt>
              </c:numCache>
            </c:numRef>
          </c:xVal>
          <c:yVal>
            <c:numLit>
              <c:formatCode>General</c:formatCode>
              <c:ptCount val="1"/>
              <c:pt idx="0">
                <c:v>100</c:v>
              </c:pt>
            </c:numLit>
          </c:yVal>
          <c:smooth val="1"/>
          <c:extLst xmlns:c16r2="http://schemas.microsoft.com/office/drawing/2015/06/chart">
            <c:ext xmlns:c16="http://schemas.microsoft.com/office/drawing/2014/chart" uri="{C3380CC4-5D6E-409C-BE32-E72D297353CC}">
              <c16:uniqueId val="{00000003-E25D-445A-AF53-B96B15045AE5}"/>
            </c:ext>
          </c:extLst>
        </c:ser>
        <c:ser>
          <c:idx val="4"/>
          <c:order val="4"/>
          <c:tx>
            <c:v>pbmed</c:v>
          </c:tx>
          <c:marker>
            <c:symbol val="none"/>
          </c:marker>
          <c:errBars>
            <c:errDir val="y"/>
            <c:errBarType val="both"/>
            <c:errValType val="cust"/>
            <c:noEndCap val="1"/>
            <c:plus>
              <c:numRef>
                <c:f>CostsandSavings!$B$101</c:f>
                <c:numCache>
                  <c:formatCode>General</c:formatCode>
                  <c:ptCount val="1"/>
                  <c:pt idx="0">
                    <c:v>0</c:v>
                  </c:pt>
                </c:numCache>
              </c:numRef>
            </c:plus>
            <c:minus>
              <c:numLit>
                <c:formatCode>General</c:formatCode>
                <c:ptCount val="1"/>
                <c:pt idx="0">
                  <c:v>0</c:v>
                </c:pt>
              </c:numLit>
            </c:minus>
            <c:spPr>
              <a:ln w="12700">
                <a:solidFill>
                  <a:schemeClr val="accent1"/>
                </a:solidFill>
                <a:prstDash val="lgDash"/>
              </a:ln>
            </c:spPr>
          </c:errBars>
          <c:xVal>
            <c:numRef>
              <c:f>CostsandSavings!$F$34</c:f>
              <c:numCache>
                <c:formatCode>0.0</c:formatCode>
                <c:ptCount val="1"/>
                <c:pt idx="0">
                  <c:v>3.6</c:v>
                </c:pt>
              </c:numCache>
            </c:numRef>
          </c:xVal>
          <c:yVal>
            <c:numLit>
              <c:formatCode>General</c:formatCode>
              <c:ptCount val="1"/>
              <c:pt idx="0">
                <c:v>100</c:v>
              </c:pt>
            </c:numLit>
          </c:yVal>
          <c:smooth val="1"/>
          <c:extLst xmlns:c16r2="http://schemas.microsoft.com/office/drawing/2015/06/chart">
            <c:ext xmlns:c16="http://schemas.microsoft.com/office/drawing/2014/chart" uri="{C3380CC4-5D6E-409C-BE32-E72D297353CC}">
              <c16:uniqueId val="{00000004-E25D-445A-AF53-B96B15045AE5}"/>
            </c:ext>
          </c:extLst>
        </c:ser>
        <c:ser>
          <c:idx val="5"/>
          <c:order val="5"/>
          <c:tx>
            <c:v>pblow</c:v>
          </c:tx>
          <c:marker>
            <c:symbol val="none"/>
          </c:marker>
          <c:errBars>
            <c:errDir val="y"/>
            <c:errBarType val="both"/>
            <c:errValType val="cust"/>
            <c:noEndCap val="1"/>
            <c:plus>
              <c:numRef>
                <c:f>CostsandSavings!$B$101</c:f>
                <c:numCache>
                  <c:formatCode>General</c:formatCode>
                  <c:ptCount val="1"/>
                  <c:pt idx="0">
                    <c:v>0</c:v>
                  </c:pt>
                </c:numCache>
              </c:numRef>
            </c:plus>
            <c:minus>
              <c:numLit>
                <c:formatCode>General</c:formatCode>
                <c:ptCount val="1"/>
                <c:pt idx="0">
                  <c:v>0</c:v>
                </c:pt>
              </c:numLit>
            </c:minus>
            <c:spPr>
              <a:ln w="12700">
                <a:solidFill>
                  <a:srgbClr val="FF0000"/>
                </a:solidFill>
                <a:prstDash val="lgDash"/>
              </a:ln>
            </c:spPr>
          </c:errBars>
          <c:xVal>
            <c:numRef>
              <c:f>CostsandSavings!$G$34</c:f>
              <c:numCache>
                <c:formatCode>0.0</c:formatCode>
                <c:ptCount val="1"/>
                <c:pt idx="0">
                  <c:v>4.2</c:v>
                </c:pt>
              </c:numCache>
            </c:numRef>
          </c:xVal>
          <c:yVal>
            <c:numLit>
              <c:formatCode>General</c:formatCode>
              <c:ptCount val="1"/>
              <c:pt idx="0">
                <c:v>100</c:v>
              </c:pt>
            </c:numLit>
          </c:yVal>
          <c:smooth val="1"/>
          <c:extLst xmlns:c16r2="http://schemas.microsoft.com/office/drawing/2015/06/chart">
            <c:ext xmlns:c16="http://schemas.microsoft.com/office/drawing/2014/chart" uri="{C3380CC4-5D6E-409C-BE32-E72D297353CC}">
              <c16:uniqueId val="{00000005-E25D-445A-AF53-B96B15045AE5}"/>
            </c:ext>
          </c:extLst>
        </c:ser>
        <c:dLbls>
          <c:showLegendKey val="0"/>
          <c:showVal val="0"/>
          <c:showCatName val="0"/>
          <c:showSerName val="0"/>
          <c:showPercent val="0"/>
          <c:showBubbleSize val="0"/>
        </c:dLbls>
        <c:axId val="594088512"/>
        <c:axId val="594089072"/>
      </c:scatterChart>
      <c:valAx>
        <c:axId val="594088512"/>
        <c:scaling>
          <c:orientation val="minMax"/>
          <c:max val="60"/>
        </c:scaling>
        <c:delete val="0"/>
        <c:axPos val="b"/>
        <c:title>
          <c:tx>
            <c:rich>
              <a:bodyPr/>
              <a:lstStyle/>
              <a:p>
                <a:pPr>
                  <a:defRPr/>
                </a:pPr>
                <a:r>
                  <a:rPr lang="en-US"/>
                  <a:t>Months</a:t>
                </a:r>
              </a:p>
            </c:rich>
          </c:tx>
          <c:overlay val="0"/>
        </c:title>
        <c:numFmt formatCode="General" sourceLinked="1"/>
        <c:majorTickMark val="out"/>
        <c:minorTickMark val="none"/>
        <c:tickLblPos val="nextTo"/>
        <c:crossAx val="594089072"/>
        <c:crosses val="autoZero"/>
        <c:crossBetween val="midCat"/>
        <c:majorUnit val="12"/>
        <c:minorUnit val="6"/>
      </c:valAx>
      <c:valAx>
        <c:axId val="594089072"/>
        <c:scaling>
          <c:orientation val="minMax"/>
        </c:scaling>
        <c:delete val="0"/>
        <c:axPos val="l"/>
        <c:majorGridlines/>
        <c:title>
          <c:tx>
            <c:rich>
              <a:bodyPr rot="-5400000" vert="horz"/>
              <a:lstStyle/>
              <a:p>
                <a:pPr>
                  <a:defRPr/>
                </a:pPr>
                <a:r>
                  <a:rPr lang="en-US"/>
                  <a:t>Savings ($)</a:t>
                </a:r>
              </a:p>
            </c:rich>
          </c:tx>
          <c:overlay val="0"/>
        </c:title>
        <c:numFmt formatCode="&quot;$&quot;#,##0_);[Red]\(&quot;$&quot;#,##0\)" sourceLinked="1"/>
        <c:majorTickMark val="out"/>
        <c:minorTickMark val="none"/>
        <c:tickLblPos val="nextTo"/>
        <c:crossAx val="594088512"/>
        <c:crosses val="autoZero"/>
        <c:crossBetween val="midCat"/>
      </c:valAx>
    </c:plotArea>
    <c:legend>
      <c:legendPos val="r"/>
      <c:legendEntry>
        <c:idx val="3"/>
        <c:delete val="1"/>
      </c:legendEntry>
      <c:legendEntry>
        <c:idx val="4"/>
        <c:delete val="1"/>
      </c:legendEntry>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Consumption!$BH$2:$BH$74</c:f>
              <c:numCache>
                <c:formatCode>General</c:formatCode>
                <c:ptCount val="73"/>
                <c:pt idx="0">
                  <c:v>25</c:v>
                </c:pt>
                <c:pt idx="1">
                  <c:v>25</c:v>
                </c:pt>
                <c:pt idx="2">
                  <c:v>25</c:v>
                </c:pt>
                <c:pt idx="3">
                  <c:v>25</c:v>
                </c:pt>
                <c:pt idx="4">
                  <c:v>25</c:v>
                </c:pt>
                <c:pt idx="5">
                  <c:v>30</c:v>
                </c:pt>
                <c:pt idx="6">
                  <c:v>30</c:v>
                </c:pt>
                <c:pt idx="7">
                  <c:v>30</c:v>
                </c:pt>
                <c:pt idx="8">
                  <c:v>30</c:v>
                </c:pt>
                <c:pt idx="9">
                  <c:v>30</c:v>
                </c:pt>
                <c:pt idx="10">
                  <c:v>40</c:v>
                </c:pt>
                <c:pt idx="11">
                  <c:v>40</c:v>
                </c:pt>
                <c:pt idx="12">
                  <c:v>40</c:v>
                </c:pt>
                <c:pt idx="13">
                  <c:v>40</c:v>
                </c:pt>
                <c:pt idx="14">
                  <c:v>40</c:v>
                </c:pt>
                <c:pt idx="15">
                  <c:v>50</c:v>
                </c:pt>
                <c:pt idx="16">
                  <c:v>50</c:v>
                </c:pt>
                <c:pt idx="20">
                  <c:v>50</c:v>
                </c:pt>
                <c:pt idx="21">
                  <c:v>50</c:v>
                </c:pt>
                <c:pt idx="22">
                  <c:v>50</c:v>
                </c:pt>
                <c:pt idx="23">
                  <c:v>60</c:v>
                </c:pt>
                <c:pt idx="24">
                  <c:v>60</c:v>
                </c:pt>
                <c:pt idx="25">
                  <c:v>60</c:v>
                </c:pt>
                <c:pt idx="26">
                  <c:v>60</c:v>
                </c:pt>
                <c:pt idx="27">
                  <c:v>60</c:v>
                </c:pt>
                <c:pt idx="28">
                  <c:v>75</c:v>
                </c:pt>
                <c:pt idx="29">
                  <c:v>75</c:v>
                </c:pt>
                <c:pt idx="30">
                  <c:v>75</c:v>
                </c:pt>
                <c:pt idx="31">
                  <c:v>75</c:v>
                </c:pt>
                <c:pt idx="32">
                  <c:v>75</c:v>
                </c:pt>
                <c:pt idx="33">
                  <c:v>100</c:v>
                </c:pt>
                <c:pt idx="34">
                  <c:v>100</c:v>
                </c:pt>
                <c:pt idx="35">
                  <c:v>100</c:v>
                </c:pt>
                <c:pt idx="36">
                  <c:v>100</c:v>
                </c:pt>
                <c:pt idx="37">
                  <c:v>100</c:v>
                </c:pt>
                <c:pt idx="38">
                  <c:v>30</c:v>
                </c:pt>
                <c:pt idx="39">
                  <c:v>30</c:v>
                </c:pt>
                <c:pt idx="40">
                  <c:v>30</c:v>
                </c:pt>
                <c:pt idx="41">
                  <c:v>30</c:v>
                </c:pt>
                <c:pt idx="42">
                  <c:v>30</c:v>
                </c:pt>
                <c:pt idx="43">
                  <c:v>150</c:v>
                </c:pt>
                <c:pt idx="44">
                  <c:v>150</c:v>
                </c:pt>
                <c:pt idx="45">
                  <c:v>150</c:v>
                </c:pt>
                <c:pt idx="46">
                  <c:v>150</c:v>
                </c:pt>
                <c:pt idx="47">
                  <c:v>150</c:v>
                </c:pt>
                <c:pt idx="48">
                  <c:v>200</c:v>
                </c:pt>
                <c:pt idx="49">
                  <c:v>200</c:v>
                </c:pt>
                <c:pt idx="50">
                  <c:v>200</c:v>
                </c:pt>
                <c:pt idx="51">
                  <c:v>200</c:v>
                </c:pt>
                <c:pt idx="52">
                  <c:v>200</c:v>
                </c:pt>
                <c:pt idx="53">
                  <c:v>250</c:v>
                </c:pt>
                <c:pt idx="54">
                  <c:v>250</c:v>
                </c:pt>
                <c:pt idx="55">
                  <c:v>250</c:v>
                </c:pt>
                <c:pt idx="56">
                  <c:v>250</c:v>
                </c:pt>
                <c:pt idx="57">
                  <c:v>250</c:v>
                </c:pt>
                <c:pt idx="58">
                  <c:v>300</c:v>
                </c:pt>
                <c:pt idx="59">
                  <c:v>300</c:v>
                </c:pt>
                <c:pt idx="60">
                  <c:v>300</c:v>
                </c:pt>
                <c:pt idx="61">
                  <c:v>300</c:v>
                </c:pt>
                <c:pt idx="62">
                  <c:v>300</c:v>
                </c:pt>
                <c:pt idx="63">
                  <c:v>350</c:v>
                </c:pt>
                <c:pt idx="64">
                  <c:v>350</c:v>
                </c:pt>
                <c:pt idx="65">
                  <c:v>350</c:v>
                </c:pt>
                <c:pt idx="66">
                  <c:v>350</c:v>
                </c:pt>
                <c:pt idx="67">
                  <c:v>350</c:v>
                </c:pt>
                <c:pt idx="68">
                  <c:v>450</c:v>
                </c:pt>
                <c:pt idx="69">
                  <c:v>450</c:v>
                </c:pt>
                <c:pt idx="70">
                  <c:v>450</c:v>
                </c:pt>
                <c:pt idx="71">
                  <c:v>450</c:v>
                </c:pt>
                <c:pt idx="72">
                  <c:v>450</c:v>
                </c:pt>
              </c:numCache>
            </c:numRef>
          </c:xVal>
          <c:yVal>
            <c:numRef>
              <c:f>Consumption!$BI$2:$BI$74</c:f>
              <c:numCache>
                <c:formatCode>General</c:formatCode>
                <c:ptCount val="73"/>
                <c:pt idx="0">
                  <c:v>21.700000762939499</c:v>
                </c:pt>
                <c:pt idx="1">
                  <c:v>21.700000762939499</c:v>
                </c:pt>
                <c:pt idx="2">
                  <c:v>21.700000762939499</c:v>
                </c:pt>
                <c:pt idx="3">
                  <c:v>21.700000762939499</c:v>
                </c:pt>
                <c:pt idx="4">
                  <c:v>21.700000762939499</c:v>
                </c:pt>
                <c:pt idx="5">
                  <c:v>21</c:v>
                </c:pt>
                <c:pt idx="6">
                  <c:v>21</c:v>
                </c:pt>
                <c:pt idx="7">
                  <c:v>21</c:v>
                </c:pt>
                <c:pt idx="8">
                  <c:v>21</c:v>
                </c:pt>
                <c:pt idx="9">
                  <c:v>21</c:v>
                </c:pt>
                <c:pt idx="10">
                  <c:v>21</c:v>
                </c:pt>
                <c:pt idx="11">
                  <c:v>21</c:v>
                </c:pt>
                <c:pt idx="12">
                  <c:v>21</c:v>
                </c:pt>
                <c:pt idx="13">
                  <c:v>21</c:v>
                </c:pt>
                <c:pt idx="14">
                  <c:v>21</c:v>
                </c:pt>
                <c:pt idx="15">
                  <c:v>20.799999237060501</c:v>
                </c:pt>
                <c:pt idx="16">
                  <c:v>20.799999237060501</c:v>
                </c:pt>
                <c:pt idx="20">
                  <c:v>20.799999237060501</c:v>
                </c:pt>
                <c:pt idx="21">
                  <c:v>20.799999237060501</c:v>
                </c:pt>
                <c:pt idx="22">
                  <c:v>20.799999237060501</c:v>
                </c:pt>
                <c:pt idx="23">
                  <c:v>19.399999618530298</c:v>
                </c:pt>
                <c:pt idx="24">
                  <c:v>19.399999618530298</c:v>
                </c:pt>
                <c:pt idx="25">
                  <c:v>19.399999618530298</c:v>
                </c:pt>
                <c:pt idx="26">
                  <c:v>19.399999618530298</c:v>
                </c:pt>
                <c:pt idx="27">
                  <c:v>19.399999618530298</c:v>
                </c:pt>
                <c:pt idx="28">
                  <c:v>19.399999618530298</c:v>
                </c:pt>
                <c:pt idx="29">
                  <c:v>19.399999618530298</c:v>
                </c:pt>
                <c:pt idx="30">
                  <c:v>19.399999618530298</c:v>
                </c:pt>
                <c:pt idx="31">
                  <c:v>19.399999618530298</c:v>
                </c:pt>
                <c:pt idx="32">
                  <c:v>19.399999618530298</c:v>
                </c:pt>
                <c:pt idx="33">
                  <c:v>19.600000381469702</c:v>
                </c:pt>
                <c:pt idx="34">
                  <c:v>19.600000381469702</c:v>
                </c:pt>
                <c:pt idx="35">
                  <c:v>19.600000381469702</c:v>
                </c:pt>
                <c:pt idx="36">
                  <c:v>19.600000381469702</c:v>
                </c:pt>
                <c:pt idx="37">
                  <c:v>19.600000381469702</c:v>
                </c:pt>
                <c:pt idx="38">
                  <c:v>21</c:v>
                </c:pt>
                <c:pt idx="39">
                  <c:v>21</c:v>
                </c:pt>
                <c:pt idx="40">
                  <c:v>21</c:v>
                </c:pt>
                <c:pt idx="41">
                  <c:v>21</c:v>
                </c:pt>
                <c:pt idx="42">
                  <c:v>21</c:v>
                </c:pt>
                <c:pt idx="43">
                  <c:v>18.799999237060501</c:v>
                </c:pt>
                <c:pt idx="44">
                  <c:v>18.799999237060501</c:v>
                </c:pt>
                <c:pt idx="45">
                  <c:v>18.799999237060501</c:v>
                </c:pt>
                <c:pt idx="46">
                  <c:v>18.799999237060501</c:v>
                </c:pt>
                <c:pt idx="47">
                  <c:v>18.799999237060501</c:v>
                </c:pt>
                <c:pt idx="48">
                  <c:v>18.700000762939499</c:v>
                </c:pt>
                <c:pt idx="49">
                  <c:v>18.700000762939499</c:v>
                </c:pt>
                <c:pt idx="50">
                  <c:v>18.700000762939499</c:v>
                </c:pt>
                <c:pt idx="51">
                  <c:v>18.700000762939499</c:v>
                </c:pt>
                <c:pt idx="52">
                  <c:v>18.700000762939499</c:v>
                </c:pt>
                <c:pt idx="53">
                  <c:v>19.200000762939499</c:v>
                </c:pt>
                <c:pt idx="54">
                  <c:v>19.200000762939499</c:v>
                </c:pt>
                <c:pt idx="55">
                  <c:v>19.200000762939499</c:v>
                </c:pt>
                <c:pt idx="56">
                  <c:v>19.200000762939499</c:v>
                </c:pt>
                <c:pt idx="57">
                  <c:v>19.200000762939499</c:v>
                </c:pt>
                <c:pt idx="58">
                  <c:v>19.100000381469702</c:v>
                </c:pt>
                <c:pt idx="59">
                  <c:v>19.100000381469702</c:v>
                </c:pt>
                <c:pt idx="60">
                  <c:v>19.100000381469702</c:v>
                </c:pt>
                <c:pt idx="61">
                  <c:v>19.100000381469702</c:v>
                </c:pt>
                <c:pt idx="62">
                  <c:v>19.100000381469702</c:v>
                </c:pt>
                <c:pt idx="63">
                  <c:v>18.600000381469702</c:v>
                </c:pt>
                <c:pt idx="64">
                  <c:v>18.600000381469702</c:v>
                </c:pt>
                <c:pt idx="65">
                  <c:v>18.600000381469702</c:v>
                </c:pt>
                <c:pt idx="66">
                  <c:v>18.600000381469702</c:v>
                </c:pt>
                <c:pt idx="67">
                  <c:v>18.600000381469702</c:v>
                </c:pt>
                <c:pt idx="68">
                  <c:v>18.200000762939499</c:v>
                </c:pt>
                <c:pt idx="69">
                  <c:v>18.200000762939499</c:v>
                </c:pt>
                <c:pt idx="70">
                  <c:v>18.200000762939499</c:v>
                </c:pt>
                <c:pt idx="71">
                  <c:v>18.200000762939499</c:v>
                </c:pt>
                <c:pt idx="72">
                  <c:v>18.200000762939499</c:v>
                </c:pt>
              </c:numCache>
            </c:numRef>
          </c:yVal>
          <c:smooth val="0"/>
          <c:extLst xmlns:c16r2="http://schemas.microsoft.com/office/drawing/2015/06/chart">
            <c:ext xmlns:c16="http://schemas.microsoft.com/office/drawing/2014/chart" uri="{C3380CC4-5D6E-409C-BE32-E72D297353CC}">
              <c16:uniqueId val="{00000000-297A-4F31-8658-67DAA57F7248}"/>
            </c:ext>
          </c:extLst>
        </c:ser>
        <c:dLbls>
          <c:showLegendKey val="0"/>
          <c:showVal val="0"/>
          <c:showCatName val="0"/>
          <c:showSerName val="0"/>
          <c:showPercent val="0"/>
          <c:showBubbleSize val="0"/>
        </c:dLbls>
        <c:axId val="532781024"/>
        <c:axId val="532781584"/>
      </c:scatterChart>
      <c:valAx>
        <c:axId val="532781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81584"/>
        <c:crosses val="autoZero"/>
        <c:crossBetween val="midCat"/>
      </c:valAx>
      <c:valAx>
        <c:axId val="532781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810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gif"/><Relationship Id="rId1" Type="http://schemas.openxmlformats.org/officeDocument/2006/relationships/image" Target="../media/image3.gif"/><Relationship Id="rId5" Type="http://schemas.openxmlformats.org/officeDocument/2006/relationships/image" Target="../media/image2.png"/><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19050</xdr:colOff>
      <xdr:row>22</xdr:row>
      <xdr:rowOff>19049</xdr:rowOff>
    </xdr:from>
    <xdr:to>
      <xdr:col>15</xdr:col>
      <xdr:colOff>1314450</xdr:colOff>
      <xdr:row>42</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19050</xdr:rowOff>
    </xdr:from>
    <xdr:to>
      <xdr:col>3</xdr:col>
      <xdr:colOff>314325</xdr:colOff>
      <xdr:row>1</xdr:row>
      <xdr:rowOff>0</xdr:rowOff>
    </xdr:to>
    <xdr:pic>
      <xdr:nvPicPr>
        <xdr:cNvPr id="4" name="Picture 3" descr="http://www.mntap.umn.edu/assets/img/logo_with_title.jpg"/>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58" t="3333"/>
        <a:stretch/>
      </xdr:blipFill>
      <xdr:spPr bwMode="auto">
        <a:xfrm>
          <a:off x="0" y="19050"/>
          <a:ext cx="26860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533401</xdr:colOff>
      <xdr:row>0</xdr:row>
      <xdr:rowOff>0</xdr:rowOff>
    </xdr:from>
    <xdr:to>
      <xdr:col>16</xdr:col>
      <xdr:colOff>0</xdr:colOff>
      <xdr:row>1</xdr:row>
      <xdr:rowOff>4572</xdr:rowOff>
    </xdr:to>
    <xdr:pic>
      <xdr:nvPicPr>
        <xdr:cNvPr id="5" name="Picture 4" descr="https://mn.gov/commerce/assets/commerce-logo_tcm17-26418.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82626" y="0"/>
          <a:ext cx="2133599" cy="576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90</xdr:row>
      <xdr:rowOff>85725</xdr:rowOff>
    </xdr:from>
    <xdr:to>
      <xdr:col>1</xdr:col>
      <xdr:colOff>485775</xdr:colOff>
      <xdr:row>94</xdr:row>
      <xdr:rowOff>132485</xdr:rowOff>
    </xdr:to>
    <xdr:pic>
      <xdr:nvPicPr>
        <xdr:cNvPr id="3" name="Picture 2" descr="https://www.epa.gov/sites/production/files/widgets/ghg_calc/calculator_resources/oi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5573375"/>
          <a:ext cx="6096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1228725</xdr:colOff>
      <xdr:row>90</xdr:row>
      <xdr:rowOff>76200</xdr:rowOff>
    </xdr:from>
    <xdr:to>
      <xdr:col>3</xdr:col>
      <xdr:colOff>344560</xdr:colOff>
      <xdr:row>93</xdr:row>
      <xdr:rowOff>295274</xdr:rowOff>
    </xdr:to>
    <xdr:pic>
      <xdr:nvPicPr>
        <xdr:cNvPr id="4" name="Picture 3" descr="https://www.epa.gov/sites/production/files/widgets/ghg_calc/calculator_resources/coal.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50" y="15763875"/>
          <a:ext cx="772318"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9524</xdr:colOff>
      <xdr:row>73</xdr:row>
      <xdr:rowOff>21168</xdr:rowOff>
    </xdr:from>
    <xdr:to>
      <xdr:col>11</xdr:col>
      <xdr:colOff>1295399</xdr:colOff>
      <xdr:row>91</xdr:row>
      <xdr:rowOff>104776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19050</xdr:rowOff>
    </xdr:from>
    <xdr:to>
      <xdr:col>1</xdr:col>
      <xdr:colOff>2290082</xdr:colOff>
      <xdr:row>1</xdr:row>
      <xdr:rowOff>0</xdr:rowOff>
    </xdr:to>
    <xdr:pic>
      <xdr:nvPicPr>
        <xdr:cNvPr id="6" name="Picture 5" descr="http://www.mntap.umn.edu/assets/img/logo_with_title.jpg"/>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758" t="3333"/>
        <a:stretch/>
      </xdr:blipFill>
      <xdr:spPr bwMode="auto">
        <a:xfrm>
          <a:off x="0" y="19050"/>
          <a:ext cx="26860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590551</xdr:colOff>
      <xdr:row>0</xdr:row>
      <xdr:rowOff>0</xdr:rowOff>
    </xdr:from>
    <xdr:to>
      <xdr:col>11</xdr:col>
      <xdr:colOff>1362075</xdr:colOff>
      <xdr:row>1</xdr:row>
      <xdr:rowOff>4572</xdr:rowOff>
    </xdr:to>
    <xdr:pic>
      <xdr:nvPicPr>
        <xdr:cNvPr id="7" name="Picture 6" descr="https://mn.gov/commerce/assets/commerce-logo_tcm17-26418.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515976" y="0"/>
          <a:ext cx="2133599" cy="576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61</xdr:col>
      <xdr:colOff>593913</xdr:colOff>
      <xdr:row>239</xdr:row>
      <xdr:rowOff>12327</xdr:rowOff>
    </xdr:from>
    <xdr:to>
      <xdr:col>69</xdr:col>
      <xdr:colOff>324972</xdr:colOff>
      <xdr:row>253</xdr:row>
      <xdr:rowOff>88527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392205</xdr:colOff>
      <xdr:row>80</xdr:row>
      <xdr:rowOff>34738</xdr:rowOff>
    </xdr:from>
    <xdr:to>
      <xdr:col>64</xdr:col>
      <xdr:colOff>123264</xdr:colOff>
      <xdr:row>94</xdr:row>
      <xdr:rowOff>110938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342900</xdr:colOff>
      <xdr:row>9</xdr:row>
      <xdr:rowOff>0</xdr:rowOff>
    </xdr:from>
    <xdr:to>
      <xdr:col>8</xdr:col>
      <xdr:colOff>563880</xdr:colOff>
      <xdr:row>18</xdr:row>
      <xdr:rowOff>106680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36</xdr:row>
      <xdr:rowOff>114300</xdr:rowOff>
    </xdr:from>
    <xdr:to>
      <xdr:col>18</xdr:col>
      <xdr:colOff>285750</xdr:colOff>
      <xdr:row>53</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114301</xdr:colOff>
      <xdr:row>1</xdr:row>
      <xdr:rowOff>76201</xdr:rowOff>
    </xdr:from>
    <xdr:to>
      <xdr:col>41</xdr:col>
      <xdr:colOff>419101</xdr:colOff>
      <xdr:row>16</xdr:row>
      <xdr:rowOff>25401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bl_primary1" displayName="tbl_primary1" ref="AZ2:AZ15" totalsRowShown="0">
  <autoFilter ref="AZ2:AZ15"/>
  <tableColumns count="1">
    <tableColumn id="1" name="HP"/>
  </tableColumns>
  <tableStyleInfo name="TableStyleMedium2" showFirstColumn="0" showLastColumn="0" showRowStripes="1" showColumnStripes="0"/>
</table>
</file>

<file path=xl/tables/table2.xml><?xml version="1.0" encoding="utf-8"?>
<table xmlns="http://schemas.openxmlformats.org/spreadsheetml/2006/main" id="2" name="tbl_secondary2" displayName="tbl_secondary2" ref="BL11:BM57" totalsRowShown="0">
  <autoFilter ref="BL11:BM57"/>
  <tableColumns count="2">
    <tableColumn id="1" name="HP"/>
    <tableColumn id="2" name="PSI"/>
  </tableColumns>
  <tableStyleInfo name="TableStyleMedium2" showFirstColumn="0" showLastColumn="0" showRowStripes="1" showColumnStripes="0"/>
</table>
</file>

<file path=xl/tables/table3.xml><?xml version="1.0" encoding="utf-8"?>
<table xmlns="http://schemas.openxmlformats.org/spreadsheetml/2006/main" id="3" name="tbl_three3" displayName="tbl_three3" ref="BO10:BQ184" totalsRowShown="0" tableBorderDxfId="3">
  <autoFilter ref="BO10:BQ184"/>
  <tableColumns count="3">
    <tableColumn id="1" name="HP" dataDxfId="2"/>
    <tableColumn id="2" name="PSI" dataDxfId="1"/>
    <tableColumn id="3"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BO148"/>
  <sheetViews>
    <sheetView showGridLines="0" tabSelected="1" zoomScale="70" zoomScaleNormal="70" workbookViewId="0">
      <selection activeCell="D11" sqref="D11"/>
    </sheetView>
  </sheetViews>
  <sheetFormatPr defaultRowHeight="15" x14ac:dyDescent="0.25"/>
  <cols>
    <col min="1" max="1" width="6.28515625" customWidth="1"/>
    <col min="2" max="2" width="6.42578125" customWidth="1"/>
    <col min="3" max="3" width="22.85546875" customWidth="1"/>
    <col min="4" max="4" width="20" customWidth="1"/>
    <col min="5" max="5" width="11.28515625" customWidth="1"/>
    <col min="6" max="6" width="12" style="147" customWidth="1"/>
    <col min="7" max="7" width="20" customWidth="1"/>
    <col min="8" max="8" width="10" customWidth="1"/>
    <col min="9" max="9" width="12" style="147" customWidth="1"/>
    <col min="10" max="10" width="6.42578125" customWidth="1"/>
    <col min="11" max="11" width="13.5703125" customWidth="1"/>
    <col min="12" max="16" width="20" customWidth="1"/>
    <col min="17" max="17" width="10.5703125" customWidth="1"/>
    <col min="18" max="18" width="12.42578125" customWidth="1"/>
    <col min="19" max="20" width="12.85546875" customWidth="1"/>
    <col min="21" max="21" width="11.7109375" style="1" customWidth="1"/>
    <col min="22" max="23" width="11" style="1" customWidth="1"/>
    <col min="24" max="24" width="43" style="1" customWidth="1"/>
    <col min="25" max="26" width="11" style="1" customWidth="1"/>
    <col min="27" max="27" width="10.85546875" customWidth="1"/>
    <col min="28" max="31" width="15.140625" customWidth="1"/>
    <col min="32" max="33" width="9.5703125" customWidth="1"/>
    <col min="34" max="34" width="8.85546875" customWidth="1"/>
    <col min="35" max="36" width="9.140625" customWidth="1"/>
    <col min="37" max="37" width="11.7109375" customWidth="1"/>
    <col min="38" max="38" width="12.28515625" customWidth="1"/>
    <col min="39" max="39" width="11.85546875" customWidth="1"/>
    <col min="40" max="44" width="9.140625" customWidth="1"/>
    <col min="45" max="45" width="10.5703125" customWidth="1"/>
    <col min="46" max="67" width="9.140625" customWidth="1"/>
  </cols>
  <sheetData>
    <row r="1" spans="1:26" ht="46.9" customHeight="1" x14ac:dyDescent="0.25">
      <c r="A1" s="279" t="s">
        <v>543</v>
      </c>
      <c r="B1" s="279"/>
      <c r="C1" s="279"/>
      <c r="D1" s="279"/>
      <c r="E1" s="279"/>
      <c r="F1" s="279"/>
      <c r="G1" s="279"/>
      <c r="H1" s="279"/>
      <c r="I1" s="279"/>
      <c r="J1" s="279"/>
      <c r="K1" s="279"/>
      <c r="L1" s="279"/>
      <c r="M1" s="279"/>
      <c r="N1" s="279"/>
      <c r="O1" s="279"/>
      <c r="P1" s="279"/>
      <c r="S1" s="24"/>
      <c r="T1" s="24"/>
    </row>
    <row r="2" spans="1:26" ht="15" customHeight="1" x14ac:dyDescent="0.25">
      <c r="A2" s="280" t="s">
        <v>494</v>
      </c>
      <c r="B2" s="280"/>
      <c r="C2" s="280"/>
      <c r="D2" s="280"/>
      <c r="E2" s="280"/>
      <c r="F2" s="280"/>
      <c r="G2" s="280"/>
      <c r="H2" s="280"/>
      <c r="I2" s="280"/>
      <c r="J2" s="280"/>
      <c r="K2" s="280"/>
      <c r="L2" s="280"/>
      <c r="M2" s="280"/>
      <c r="N2" s="280"/>
      <c r="O2" s="280"/>
      <c r="P2" s="280"/>
      <c r="S2" s="24"/>
      <c r="T2" s="24"/>
    </row>
    <row r="3" spans="1:26" ht="15" customHeight="1" x14ac:dyDescent="0.25">
      <c r="A3" s="280"/>
      <c r="B3" s="280"/>
      <c r="C3" s="280"/>
      <c r="D3" s="280"/>
      <c r="E3" s="280"/>
      <c r="F3" s="280"/>
      <c r="G3" s="280"/>
      <c r="H3" s="280"/>
      <c r="I3" s="280"/>
      <c r="J3" s="280"/>
      <c r="K3" s="280"/>
      <c r="L3" s="280"/>
      <c r="M3" s="280"/>
      <c r="N3" s="280"/>
      <c r="O3" s="280"/>
      <c r="P3" s="280"/>
      <c r="S3" s="24"/>
      <c r="T3" s="24"/>
    </row>
    <row r="4" spans="1:26" x14ac:dyDescent="0.25">
      <c r="A4" s="41"/>
      <c r="B4" s="41"/>
      <c r="C4" s="41"/>
      <c r="D4" s="41"/>
      <c r="E4" s="41"/>
      <c r="F4" s="41"/>
      <c r="G4" s="41"/>
      <c r="H4" s="41"/>
      <c r="I4" s="41"/>
      <c r="J4" s="41"/>
      <c r="K4" s="41"/>
      <c r="L4" s="41"/>
      <c r="M4" s="41"/>
      <c r="N4" s="41"/>
      <c r="O4" s="41"/>
      <c r="P4" s="41"/>
      <c r="S4" s="24"/>
      <c r="T4" s="24"/>
    </row>
    <row r="5" spans="1:26" x14ac:dyDescent="0.25">
      <c r="U5"/>
      <c r="V5"/>
      <c r="W5"/>
      <c r="X5"/>
      <c r="Y5"/>
      <c r="Z5"/>
    </row>
    <row r="6" spans="1:26" ht="15" customHeight="1" x14ac:dyDescent="0.25">
      <c r="A6" s="280" t="s">
        <v>514</v>
      </c>
      <c r="B6" s="280"/>
      <c r="C6" s="280"/>
      <c r="D6" s="280"/>
      <c r="E6" s="280"/>
      <c r="F6" s="280"/>
      <c r="G6" s="280"/>
      <c r="H6" s="280"/>
      <c r="I6" s="280"/>
      <c r="J6" s="280"/>
      <c r="K6" s="280"/>
      <c r="L6" s="280"/>
      <c r="M6" s="280"/>
      <c r="N6" s="280"/>
      <c r="O6" s="280"/>
      <c r="P6" s="280"/>
    </row>
    <row r="7" spans="1:26" ht="15" customHeight="1" x14ac:dyDescent="0.25">
      <c r="A7" s="280"/>
      <c r="B7" s="280"/>
      <c r="C7" s="280"/>
      <c r="D7" s="280"/>
      <c r="E7" s="280"/>
      <c r="F7" s="280"/>
      <c r="G7" s="280"/>
      <c r="H7" s="280"/>
      <c r="I7" s="280"/>
      <c r="J7" s="280"/>
      <c r="K7" s="280"/>
      <c r="L7" s="280"/>
      <c r="M7" s="280"/>
      <c r="N7" s="280"/>
      <c r="O7" s="280"/>
      <c r="P7" s="280"/>
    </row>
    <row r="8" spans="1:26" ht="15" customHeight="1" x14ac:dyDescent="0.25"/>
    <row r="9" spans="1:26" ht="15" customHeight="1" x14ac:dyDescent="0.25">
      <c r="D9" s="30"/>
      <c r="E9" s="281"/>
      <c r="F9" s="281"/>
      <c r="G9" s="281"/>
      <c r="H9" s="281"/>
      <c r="I9" s="281"/>
      <c r="J9" s="281"/>
      <c r="K9" s="281"/>
      <c r="L9" s="281"/>
      <c r="M9" s="281"/>
      <c r="N9" s="281"/>
      <c r="O9" s="281"/>
      <c r="P9" s="281"/>
    </row>
    <row r="10" spans="1:26" ht="15" customHeight="1" x14ac:dyDescent="0.25">
      <c r="B10" s="116" t="s">
        <v>303</v>
      </c>
      <c r="C10" s="209" t="s">
        <v>304</v>
      </c>
      <c r="D10" s="211" t="s">
        <v>292</v>
      </c>
      <c r="E10" s="273" t="s">
        <v>293</v>
      </c>
      <c r="F10" s="273"/>
      <c r="G10" s="211" t="s">
        <v>294</v>
      </c>
      <c r="H10" s="273" t="s">
        <v>295</v>
      </c>
      <c r="I10" s="273"/>
      <c r="J10" s="273" t="s">
        <v>296</v>
      </c>
      <c r="K10" s="273"/>
      <c r="L10" s="211" t="s">
        <v>297</v>
      </c>
      <c r="M10" s="211" t="s">
        <v>298</v>
      </c>
      <c r="N10" s="211" t="s">
        <v>299</v>
      </c>
      <c r="O10" s="211" t="s">
        <v>300</v>
      </c>
      <c r="P10" s="211" t="s">
        <v>301</v>
      </c>
    </row>
    <row r="11" spans="1:26" ht="15" customHeight="1" x14ac:dyDescent="0.25">
      <c r="B11" s="116" t="s">
        <v>290</v>
      </c>
      <c r="C11" s="206" t="s">
        <v>0</v>
      </c>
      <c r="D11" s="213"/>
      <c r="E11" s="274"/>
      <c r="F11" s="274"/>
      <c r="G11" s="213"/>
      <c r="H11" s="274"/>
      <c r="I11" s="274"/>
      <c r="J11" s="272"/>
      <c r="K11" s="272"/>
      <c r="L11" s="213"/>
      <c r="M11" s="213"/>
      <c r="N11" s="213"/>
      <c r="O11" s="213"/>
      <c r="P11" s="213"/>
    </row>
    <row r="12" spans="1:26" ht="15" customHeight="1" x14ac:dyDescent="0.25">
      <c r="B12" s="116" t="s">
        <v>290</v>
      </c>
      <c r="C12" s="209" t="s">
        <v>58</v>
      </c>
      <c r="D12" s="214"/>
      <c r="E12" s="275"/>
      <c r="F12" s="275"/>
      <c r="G12" s="214"/>
      <c r="H12" s="275"/>
      <c r="I12" s="275"/>
      <c r="J12" s="276"/>
      <c r="K12" s="276"/>
      <c r="L12" s="214"/>
      <c r="M12" s="214"/>
      <c r="N12" s="214"/>
      <c r="O12" s="214"/>
      <c r="P12" s="214"/>
    </row>
    <row r="13" spans="1:26" ht="15" customHeight="1" x14ac:dyDescent="0.25">
      <c r="B13" s="116" t="s">
        <v>290</v>
      </c>
      <c r="C13" s="206" t="s">
        <v>219</v>
      </c>
      <c r="D13" s="213"/>
      <c r="E13" s="274"/>
      <c r="F13" s="274"/>
      <c r="G13" s="213"/>
      <c r="H13" s="274"/>
      <c r="I13" s="274"/>
      <c r="J13" s="272"/>
      <c r="K13" s="272"/>
      <c r="L13" s="213"/>
      <c r="M13" s="213"/>
      <c r="N13" s="213"/>
      <c r="O13" s="213"/>
      <c r="P13" s="213"/>
    </row>
    <row r="14" spans="1:26" s="2" customFormat="1" ht="15" customHeight="1" x14ac:dyDescent="0.25">
      <c r="B14" s="116" t="s">
        <v>290</v>
      </c>
      <c r="C14" s="209" t="s">
        <v>80</v>
      </c>
      <c r="D14" s="214"/>
      <c r="E14" s="275"/>
      <c r="F14" s="275"/>
      <c r="G14" s="214"/>
      <c r="H14" s="275"/>
      <c r="I14" s="275"/>
      <c r="J14" s="276"/>
      <c r="K14" s="276"/>
      <c r="L14" s="214"/>
      <c r="M14" s="214"/>
      <c r="N14" s="214"/>
      <c r="O14" s="214"/>
      <c r="P14" s="214"/>
      <c r="Q14"/>
      <c r="R14"/>
    </row>
    <row r="15" spans="1:26" ht="15" customHeight="1" x14ac:dyDescent="0.25">
      <c r="B15" s="116" t="s">
        <v>290</v>
      </c>
      <c r="C15" s="206" t="s">
        <v>291</v>
      </c>
      <c r="D15" s="213"/>
      <c r="E15" s="274"/>
      <c r="F15" s="274"/>
      <c r="G15" s="213"/>
      <c r="H15" s="274"/>
      <c r="I15" s="274"/>
      <c r="J15" s="272"/>
      <c r="K15" s="272"/>
      <c r="L15" s="213"/>
      <c r="M15" s="213"/>
      <c r="N15" s="213"/>
      <c r="O15" s="213"/>
      <c r="P15" s="213"/>
    </row>
    <row r="16" spans="1:26" ht="15" customHeight="1" x14ac:dyDescent="0.25"/>
    <row r="17" spans="1:18" s="2" customFormat="1" ht="15" customHeight="1" x14ac:dyDescent="0.25">
      <c r="A17" s="277" t="s">
        <v>306</v>
      </c>
      <c r="B17" s="277"/>
      <c r="C17" s="277"/>
      <c r="D17" s="277"/>
      <c r="E17" s="277"/>
      <c r="F17" s="277"/>
      <c r="G17" s="277"/>
      <c r="H17" s="277"/>
      <c r="I17" s="277"/>
      <c r="J17" s="277"/>
      <c r="K17" s="277"/>
      <c r="L17" s="277"/>
      <c r="M17" s="277"/>
      <c r="N17" s="277"/>
      <c r="O17" s="277"/>
      <c r="P17" s="277"/>
      <c r="Q17"/>
      <c r="R17"/>
    </row>
    <row r="18" spans="1:18" ht="15" customHeight="1" x14ac:dyDescent="0.25">
      <c r="A18" s="277"/>
      <c r="B18" s="277"/>
      <c r="C18" s="277"/>
      <c r="D18" s="277"/>
      <c r="E18" s="277"/>
      <c r="F18" s="277"/>
      <c r="G18" s="277"/>
      <c r="H18" s="277"/>
      <c r="I18" s="277"/>
      <c r="J18" s="277"/>
      <c r="K18" s="277"/>
      <c r="L18" s="277"/>
      <c r="M18" s="277"/>
      <c r="N18" s="277"/>
      <c r="O18" s="277"/>
      <c r="P18" s="277"/>
    </row>
    <row r="19" spans="1:18" ht="15" customHeight="1" thickBot="1" x14ac:dyDescent="0.3">
      <c r="A19" s="278"/>
      <c r="B19" s="278"/>
      <c r="C19" s="278"/>
      <c r="D19" s="278"/>
      <c r="E19" s="278"/>
      <c r="F19" s="278"/>
      <c r="G19" s="278"/>
      <c r="H19" s="278"/>
      <c r="I19" s="278"/>
      <c r="J19" s="278"/>
      <c r="K19" s="278"/>
      <c r="L19" s="278"/>
      <c r="M19" s="278"/>
      <c r="N19" s="278"/>
      <c r="O19" s="278"/>
      <c r="P19" s="278"/>
    </row>
    <row r="20" spans="1:18" ht="15" customHeight="1" thickTop="1" thickBot="1" x14ac:dyDescent="0.3"/>
    <row r="21" spans="1:18" ht="15" customHeight="1" thickTop="1" thickBot="1" x14ac:dyDescent="0.3">
      <c r="B21" s="261" t="s">
        <v>526</v>
      </c>
      <c r="C21" s="261"/>
      <c r="D21" s="261"/>
      <c r="E21" s="288" t="s">
        <v>503</v>
      </c>
      <c r="F21" s="288"/>
      <c r="G21" s="288"/>
      <c r="H21" s="288" t="s">
        <v>504</v>
      </c>
      <c r="I21" s="288"/>
      <c r="J21" s="147"/>
      <c r="K21" s="284" t="s">
        <v>290</v>
      </c>
      <c r="L21" s="268" t="s">
        <v>309</v>
      </c>
      <c r="M21" s="268"/>
      <c r="N21" s="268"/>
      <c r="O21" s="268"/>
      <c r="P21" s="269"/>
    </row>
    <row r="22" spans="1:18" ht="15" customHeight="1" thickTop="1" thickBot="1" x14ac:dyDescent="0.3">
      <c r="B22" s="261"/>
      <c r="C22" s="261"/>
      <c r="D22" s="261"/>
      <c r="E22" s="288"/>
      <c r="F22" s="288"/>
      <c r="G22" s="288"/>
      <c r="H22" s="288"/>
      <c r="I22" s="288"/>
      <c r="J22" s="147"/>
      <c r="K22" s="285"/>
      <c r="L22" s="270"/>
      <c r="M22" s="270"/>
      <c r="N22" s="270"/>
      <c r="O22" s="270"/>
      <c r="P22" s="271"/>
    </row>
    <row r="23" spans="1:18" ht="15" customHeight="1" thickTop="1" x14ac:dyDescent="0.25">
      <c r="B23" s="261"/>
      <c r="C23" s="261"/>
      <c r="D23" s="261"/>
      <c r="E23" s="289" t="s">
        <v>495</v>
      </c>
      <c r="F23" s="289"/>
      <c r="G23" s="241" t="s">
        <v>496</v>
      </c>
      <c r="H23" s="289" t="s">
        <v>505</v>
      </c>
      <c r="I23" s="289"/>
      <c r="J23" s="147"/>
      <c r="K23" s="162"/>
      <c r="L23" s="159"/>
      <c r="M23" s="159"/>
      <c r="N23" s="159"/>
      <c r="O23" s="159"/>
      <c r="P23" s="163"/>
    </row>
    <row r="24" spans="1:18" ht="30" customHeight="1" x14ac:dyDescent="0.25">
      <c r="A24" s="147"/>
      <c r="B24" s="266" t="s">
        <v>290</v>
      </c>
      <c r="C24" s="282" t="s">
        <v>499</v>
      </c>
      <c r="D24" s="282"/>
      <c r="E24" s="242" t="s">
        <v>500</v>
      </c>
      <c r="F24" s="242" t="s">
        <v>501</v>
      </c>
      <c r="G24" s="242" t="s">
        <v>523</v>
      </c>
      <c r="H24" s="242" t="s">
        <v>500</v>
      </c>
      <c r="I24" s="242" t="s">
        <v>501</v>
      </c>
      <c r="J24" s="147"/>
      <c r="K24" s="162"/>
      <c r="L24" s="159"/>
      <c r="M24" s="159"/>
      <c r="N24" s="159"/>
      <c r="O24" s="159"/>
      <c r="P24" s="163"/>
    </row>
    <row r="25" spans="1:18" s="147" customFormat="1" ht="15" customHeight="1" x14ac:dyDescent="0.25">
      <c r="B25" s="266"/>
      <c r="C25" s="262" t="s">
        <v>528</v>
      </c>
      <c r="D25" s="262"/>
      <c r="E25" s="243" t="str">
        <f>IF(E26="-", "-",E26/'System Info'!$D$25)</f>
        <v>-</v>
      </c>
      <c r="F25" s="243" t="str">
        <f>IF(F26="-", "-",F26/'System Info'!$D$25)</f>
        <v>-</v>
      </c>
      <c r="G25" s="243" t="str">
        <f>IF(G26="-", "-",G26/'System Info'!$D$25)</f>
        <v>-</v>
      </c>
      <c r="H25" s="243" t="str">
        <f>IF(H26="-", "-",H26/'System Info'!$D$25)</f>
        <v>-</v>
      </c>
      <c r="I25" s="243" t="str">
        <f>IF(I26="-", "-",I26/'System Info'!$D$25)</f>
        <v>-</v>
      </c>
      <c r="K25" s="162"/>
      <c r="L25" s="159"/>
      <c r="M25" s="159"/>
      <c r="N25" s="159"/>
      <c r="O25" s="159"/>
      <c r="P25" s="163"/>
    </row>
    <row r="26" spans="1:18" s="147" customFormat="1" ht="15" customHeight="1" x14ac:dyDescent="0.25">
      <c r="A26"/>
      <c r="B26" s="266"/>
      <c r="C26" s="286" t="s">
        <v>527</v>
      </c>
      <c r="D26" s="286"/>
      <c r="E26" s="244" t="str">
        <f>IF(Y88=0,"-",Y88)</f>
        <v>-</v>
      </c>
      <c r="F26" s="244" t="str">
        <f>IF(Y86=0,"-",Y86)</f>
        <v>-</v>
      </c>
      <c r="G26" s="245" t="str">
        <f>IF(Y89=0,"-",Y89)</f>
        <v>-</v>
      </c>
      <c r="H26" s="246" t="str">
        <f>IF(Y88-Y89=0,"-",Y88-Y89)</f>
        <v>-</v>
      </c>
      <c r="I26" s="246" t="str">
        <f>IF(Y86-Y89=0,"-",Y86-Y89)</f>
        <v>-</v>
      </c>
      <c r="K26" s="162"/>
      <c r="L26" s="159"/>
      <c r="M26" s="159"/>
      <c r="N26" s="159"/>
      <c r="O26" s="159"/>
      <c r="P26" s="163"/>
    </row>
    <row r="27" spans="1:18" ht="15" customHeight="1" x14ac:dyDescent="0.25">
      <c r="B27" s="116" t="s">
        <v>290</v>
      </c>
      <c r="C27" s="262" t="s">
        <v>529</v>
      </c>
      <c r="D27" s="262"/>
      <c r="E27" s="247" t="str">
        <f>IF(Y90=0,"-",Y90)</f>
        <v>-</v>
      </c>
      <c r="F27" s="247" t="str">
        <f>IF(Y90=0,"-",Y90)</f>
        <v>-</v>
      </c>
      <c r="G27" s="248" t="str">
        <f>IF(Y91=0,"-",Y91)</f>
        <v>-</v>
      </c>
      <c r="H27" s="248" t="str">
        <f>IF(Y90-Y91=0,"-",Y90-Y91)</f>
        <v>-</v>
      </c>
      <c r="I27" s="248" t="str">
        <f>IF(Y90-Y91=0,"-",Y90-Y91)</f>
        <v>-</v>
      </c>
      <c r="J27" s="147"/>
      <c r="K27" s="162"/>
      <c r="L27" s="159"/>
      <c r="M27" s="159"/>
      <c r="N27" s="159"/>
      <c r="O27" s="159"/>
      <c r="P27" s="163"/>
    </row>
    <row r="28" spans="1:18" ht="15" customHeight="1" x14ac:dyDescent="0.25">
      <c r="A28" s="2"/>
      <c r="B28" s="116" t="s">
        <v>290</v>
      </c>
      <c r="C28" s="287" t="s">
        <v>506</v>
      </c>
      <c r="D28" s="287"/>
      <c r="E28" s="249" t="str">
        <f>IF(Y88+Y90=0,"-",Y88+Y90)</f>
        <v>-</v>
      </c>
      <c r="F28" s="249" t="str">
        <f>IF(Y86+Y90=0,"-",Y86+Y90)</f>
        <v>-</v>
      </c>
      <c r="G28" s="249" t="str">
        <f>IF(Y89+Y91=0,"-",Y89+Y91)</f>
        <v>-</v>
      </c>
      <c r="H28" s="249" t="str">
        <f>IF(Y88-Y89+(Y90-Y91)=0,"-",Y88-Y89+(Y90-Y91))</f>
        <v>-</v>
      </c>
      <c r="I28" s="249" t="str">
        <f>IF(Y86-Y89+(Y90-Y91)=0,"-",Y86-Y89+(Y90-Y91))</f>
        <v>-</v>
      </c>
      <c r="J28" s="2"/>
      <c r="K28" s="164"/>
      <c r="L28" s="28"/>
      <c r="M28" s="28"/>
      <c r="N28" s="28"/>
      <c r="O28" s="160"/>
      <c r="P28" s="165"/>
    </row>
    <row r="29" spans="1:18" s="2" customFormat="1" ht="18.75" customHeight="1" x14ac:dyDescent="0.25">
      <c r="A29"/>
      <c r="B29" s="147"/>
      <c r="C29" s="147"/>
      <c r="D29" s="147"/>
      <c r="E29" s="147"/>
      <c r="F29" s="147"/>
      <c r="G29" s="147"/>
      <c r="H29"/>
      <c r="I29" s="147"/>
      <c r="J29" s="147"/>
      <c r="K29" s="162"/>
      <c r="L29" s="159"/>
      <c r="M29" s="159"/>
      <c r="N29" s="159"/>
      <c r="O29" s="159"/>
      <c r="P29" s="163"/>
    </row>
    <row r="30" spans="1:18" ht="15" customHeight="1" x14ac:dyDescent="0.25">
      <c r="B30" s="283" t="s">
        <v>308</v>
      </c>
      <c r="C30" s="283"/>
      <c r="D30" s="283"/>
      <c r="E30" s="283"/>
      <c r="F30" s="283"/>
      <c r="G30" s="283"/>
      <c r="H30" s="283"/>
      <c r="I30" s="283"/>
      <c r="J30" s="147"/>
      <c r="K30" s="162"/>
      <c r="L30" s="159"/>
      <c r="M30" s="159"/>
      <c r="N30" s="159"/>
      <c r="O30" s="159"/>
      <c r="P30" s="163"/>
    </row>
    <row r="31" spans="1:18" ht="15" customHeight="1" x14ac:dyDescent="0.25">
      <c r="B31" s="283"/>
      <c r="C31" s="283"/>
      <c r="D31" s="283"/>
      <c r="E31" s="283"/>
      <c r="F31" s="283"/>
      <c r="G31" s="283"/>
      <c r="H31" s="283"/>
      <c r="I31" s="283"/>
      <c r="J31" s="147"/>
      <c r="K31" s="162"/>
      <c r="L31" s="159"/>
      <c r="M31" s="159"/>
      <c r="N31" s="159"/>
      <c r="O31" s="159"/>
      <c r="P31" s="163"/>
    </row>
    <row r="32" spans="1:18" ht="15" customHeight="1" x14ac:dyDescent="0.25">
      <c r="B32" s="266" t="s">
        <v>290</v>
      </c>
      <c r="C32" s="263" t="s">
        <v>499</v>
      </c>
      <c r="D32" s="263"/>
      <c r="E32" s="263"/>
      <c r="F32" s="263"/>
      <c r="G32" s="263"/>
      <c r="H32" s="250" t="s">
        <v>500</v>
      </c>
      <c r="I32" s="250" t="s">
        <v>501</v>
      </c>
      <c r="J32" s="147"/>
      <c r="K32" s="162"/>
      <c r="L32" s="159"/>
      <c r="M32" s="159"/>
      <c r="N32" s="159"/>
      <c r="O32" s="159"/>
      <c r="P32" s="163"/>
    </row>
    <row r="33" spans="2:16" ht="15" customHeight="1" x14ac:dyDescent="0.25">
      <c r="B33" s="266"/>
      <c r="C33" s="264" t="s">
        <v>107</v>
      </c>
      <c r="D33" s="264"/>
      <c r="E33" s="264"/>
      <c r="F33" s="264"/>
      <c r="G33" s="264"/>
      <c r="H33" s="247" t="str">
        <f>H28</f>
        <v>-</v>
      </c>
      <c r="I33" s="247" t="str">
        <f>I28</f>
        <v>-</v>
      </c>
      <c r="J33" s="147"/>
      <c r="K33" s="162"/>
      <c r="L33" s="159"/>
      <c r="M33" s="159"/>
      <c r="N33" s="159"/>
      <c r="O33" s="159"/>
      <c r="P33" s="163"/>
    </row>
    <row r="34" spans="2:16" ht="15" customHeight="1" x14ac:dyDescent="0.25">
      <c r="B34" s="116" t="s">
        <v>290</v>
      </c>
      <c r="C34" s="267" t="s">
        <v>507</v>
      </c>
      <c r="D34" s="267"/>
      <c r="E34" s="267"/>
      <c r="F34" s="267"/>
      <c r="G34" s="267"/>
      <c r="H34" s="251" t="str">
        <f>IF(Y92=0,"-",Y92)</f>
        <v>-</v>
      </c>
      <c r="I34" s="251" t="str">
        <f>IF(Y92=0,"-",Y92)</f>
        <v>-</v>
      </c>
      <c r="J34" s="147"/>
      <c r="K34" s="162"/>
      <c r="L34" s="159"/>
      <c r="M34" s="159"/>
      <c r="N34" s="159"/>
      <c r="O34" s="159"/>
      <c r="P34" s="163"/>
    </row>
    <row r="35" spans="2:16" ht="15" customHeight="1" x14ac:dyDescent="0.25">
      <c r="B35" s="116" t="s">
        <v>290</v>
      </c>
      <c r="C35" s="265" t="s">
        <v>508</v>
      </c>
      <c r="D35" s="265"/>
      <c r="E35" s="265"/>
      <c r="F35" s="265"/>
      <c r="G35" s="265"/>
      <c r="H35" s="252" t="str">
        <f>IFERROR(Y98,"-")</f>
        <v>-</v>
      </c>
      <c r="I35" s="252" t="str">
        <f>IFERROR(Y96,"-")</f>
        <v>-</v>
      </c>
      <c r="J35" s="147"/>
      <c r="K35" s="162"/>
      <c r="L35" s="159"/>
      <c r="M35" s="159"/>
      <c r="N35" s="159"/>
      <c r="O35" s="159"/>
      <c r="P35" s="163"/>
    </row>
    <row r="36" spans="2:16" ht="18.75" customHeight="1" x14ac:dyDescent="0.25">
      <c r="J36" s="147"/>
      <c r="K36" s="166"/>
      <c r="L36" s="161"/>
      <c r="M36" s="161"/>
      <c r="N36" s="161"/>
      <c r="O36" s="161"/>
      <c r="P36" s="167"/>
    </row>
    <row r="37" spans="2:16" ht="19.5" x14ac:dyDescent="0.25">
      <c r="B37" s="261" t="s">
        <v>483</v>
      </c>
      <c r="C37" s="261"/>
      <c r="D37" s="261"/>
      <c r="E37" s="261"/>
      <c r="F37" s="261"/>
      <c r="G37" s="261"/>
      <c r="H37" s="261"/>
      <c r="I37" s="261"/>
      <c r="K37" s="162"/>
      <c r="L37" s="159"/>
      <c r="M37" s="159"/>
      <c r="N37" s="159"/>
      <c r="O37" s="159"/>
      <c r="P37" s="163"/>
    </row>
    <row r="38" spans="2:16" ht="18" customHeight="1" x14ac:dyDescent="0.25">
      <c r="B38" s="260" t="str">
        <f>IFERROR(CONCATENATE("If you replace all of the tools you have entered in above, using solely the default values,  it will take an estimated ",ROUND(H35,0)," months to recover your initial investment of ",TEXT(ROUND(H34,0),"$#,##0_);[Red]($#,##0)")," to get the new electric-driven power tools. For every year after your money is recovered, you will save an estimated ",TEXT(ROUND(H28,0),"$#,##0_);[Red]($#,##0)"),". Click on the ""Advanced"" tab near the bottom left of this spreadsheet to use values other than the default values. For more information on"," the different aspects between pneumatic and electric besides cost, such as performance, refer"," to the power tool transition guide at (insert website or how to find this guide here)."),"Not enough information has been provided. Please complete the inputs section for at least one tool type. All five inputs per tool type are required to provide calculation results.")</f>
        <v>Not enough information has been provided. Please complete the inputs section for at least one tool type. All five inputs per tool type are required to provide calculation results.</v>
      </c>
      <c r="C38" s="260"/>
      <c r="D38" s="260"/>
      <c r="E38" s="260"/>
      <c r="F38" s="260"/>
      <c r="G38" s="260"/>
      <c r="H38" s="260"/>
      <c r="I38" s="260"/>
      <c r="K38" s="162"/>
      <c r="L38" s="159"/>
      <c r="M38" s="159"/>
      <c r="N38" s="159"/>
      <c r="O38" s="159"/>
      <c r="P38" s="163"/>
    </row>
    <row r="39" spans="2:16" ht="15" customHeight="1" x14ac:dyDescent="0.25">
      <c r="B39" s="260"/>
      <c r="C39" s="260"/>
      <c r="D39" s="260"/>
      <c r="E39" s="260"/>
      <c r="F39" s="260"/>
      <c r="G39" s="260"/>
      <c r="H39" s="260"/>
      <c r="I39" s="260"/>
      <c r="K39" s="162"/>
      <c r="L39" s="159"/>
      <c r="M39" s="159"/>
      <c r="N39" s="159"/>
      <c r="O39" s="159"/>
      <c r="P39" s="163"/>
    </row>
    <row r="40" spans="2:16" ht="15" customHeight="1" x14ac:dyDescent="0.25">
      <c r="B40" s="260"/>
      <c r="C40" s="260"/>
      <c r="D40" s="260"/>
      <c r="E40" s="260"/>
      <c r="F40" s="260"/>
      <c r="G40" s="260"/>
      <c r="H40" s="260"/>
      <c r="I40" s="260"/>
      <c r="K40" s="162"/>
      <c r="L40" s="159"/>
      <c r="M40" s="159"/>
      <c r="N40" s="159"/>
      <c r="O40" s="159"/>
      <c r="P40" s="163"/>
    </row>
    <row r="41" spans="2:16" ht="15" customHeight="1" x14ac:dyDescent="0.25">
      <c r="B41" s="260"/>
      <c r="C41" s="260"/>
      <c r="D41" s="260"/>
      <c r="E41" s="260"/>
      <c r="F41" s="260"/>
      <c r="G41" s="260"/>
      <c r="H41" s="260"/>
      <c r="I41" s="260"/>
      <c r="K41" s="162"/>
      <c r="L41" s="159"/>
      <c r="M41" s="159"/>
      <c r="N41" s="159"/>
      <c r="O41" s="159"/>
      <c r="P41" s="163"/>
    </row>
    <row r="42" spans="2:16" x14ac:dyDescent="0.25">
      <c r="B42" s="260"/>
      <c r="C42" s="260"/>
      <c r="D42" s="260"/>
      <c r="E42" s="260"/>
      <c r="F42" s="260"/>
      <c r="G42" s="260"/>
      <c r="H42" s="260"/>
      <c r="I42" s="260"/>
      <c r="K42" s="162"/>
      <c r="L42" s="159"/>
      <c r="M42" s="159"/>
      <c r="N42" s="159"/>
      <c r="O42" s="159"/>
      <c r="P42" s="163"/>
    </row>
    <row r="43" spans="2:16" ht="15.75" thickBot="1" x14ac:dyDescent="0.3">
      <c r="B43" s="260"/>
      <c r="C43" s="260"/>
      <c r="D43" s="260"/>
      <c r="E43" s="260"/>
      <c r="F43" s="260"/>
      <c r="G43" s="260"/>
      <c r="H43" s="260"/>
      <c r="I43" s="260"/>
      <c r="K43" s="168"/>
      <c r="L43" s="169"/>
      <c r="M43" s="169"/>
      <c r="N43" s="169"/>
      <c r="O43" s="169"/>
      <c r="P43" s="170"/>
    </row>
    <row r="44" spans="2:16" ht="15.75" thickTop="1" x14ac:dyDescent="0.25"/>
    <row r="46" spans="2:16" ht="22.5" customHeight="1" x14ac:dyDescent="0.25"/>
    <row r="47" spans="2:16" ht="15.75" customHeight="1" x14ac:dyDescent="0.25"/>
    <row r="49" spans="1:67" hidden="1" x14ac:dyDescent="0.25"/>
    <row r="50" spans="1:67" hidden="1" x14ac:dyDescent="0.25"/>
    <row r="51" spans="1:67" hidden="1" x14ac:dyDescent="0.25"/>
    <row r="52" spans="1:67" hidden="1" x14ac:dyDescent="0.25"/>
    <row r="53" spans="1:67" hidden="1" x14ac:dyDescent="0.25">
      <c r="B53" s="202"/>
      <c r="C53" s="202"/>
      <c r="D53" s="202"/>
      <c r="E53" s="202"/>
      <c r="F53" s="172"/>
    </row>
    <row r="54" spans="1:67" ht="15" hidden="1" customHeight="1" x14ac:dyDescent="0.25">
      <c r="A54" s="202" t="s">
        <v>65</v>
      </c>
      <c r="B54" s="202"/>
      <c r="C54" s="202"/>
      <c r="D54" s="202"/>
      <c r="E54" s="202"/>
      <c r="F54" s="172"/>
      <c r="X54" s="173"/>
      <c r="Y54" s="173" t="s">
        <v>292</v>
      </c>
      <c r="Z54" s="173" t="s">
        <v>293</v>
      </c>
      <c r="AA54" s="173" t="s">
        <v>294</v>
      </c>
      <c r="AB54" s="173" t="s">
        <v>295</v>
      </c>
      <c r="AC54" s="173" t="s">
        <v>296</v>
      </c>
      <c r="AD54" s="173" t="s">
        <v>297</v>
      </c>
      <c r="AE54" s="173" t="s">
        <v>298</v>
      </c>
      <c r="AF54" s="173" t="s">
        <v>299</v>
      </c>
      <c r="AG54" s="173" t="s">
        <v>300</v>
      </c>
      <c r="AH54" s="173" t="s">
        <v>301</v>
      </c>
    </row>
    <row r="55" spans="1:67" hidden="1" x14ac:dyDescent="0.25">
      <c r="A55" s="202"/>
      <c r="B55" s="173" t="s">
        <v>1</v>
      </c>
      <c r="C55" s="173" t="s">
        <v>2</v>
      </c>
      <c r="D55" s="173"/>
      <c r="E55" s="173" t="s">
        <v>3</v>
      </c>
      <c r="F55" s="173"/>
      <c r="X55" s="183" t="s">
        <v>48</v>
      </c>
      <c r="Y55" s="173"/>
      <c r="Z55" s="173"/>
      <c r="AA55" s="173"/>
      <c r="AB55" s="173"/>
      <c r="AC55" s="182"/>
      <c r="AD55" s="182"/>
      <c r="AE55" s="182"/>
      <c r="AF55" s="182"/>
      <c r="AG55" s="182"/>
      <c r="AH55" s="182"/>
    </row>
    <row r="56" spans="1:67" hidden="1" x14ac:dyDescent="0.25">
      <c r="A56" s="173"/>
      <c r="B56" s="174" t="e">
        <f>SUM($AL$123:$AL$133)*'System Info'!$B$25/(1-'System Info'!$B$7)*(1+'System Info'!#REF!/200)*(1+'System Info'!#REF!/200)*32.5/100</f>
        <v>#REF!</v>
      </c>
      <c r="C56" s="174" t="e">
        <f>SUM($AL$123:$AL$133)*'System Info'!$B$25/(1-'System Info'!$B$7)*(1+'System Info'!#REF!/200)*(1+'System Info'!#REF!/200)*27.5/100</f>
        <v>#REF!</v>
      </c>
      <c r="D56" s="174"/>
      <c r="E56" s="174" t="e">
        <f>SUM($AL$123:$AL$133)*'System Info'!$B$25/(1-'System Info'!$B$7)*(1+'System Info'!#REF!/200)*(1+'System Info'!#REF!/200)*22.5/100</f>
        <v>#REF!</v>
      </c>
      <c r="F56" s="174"/>
      <c r="X56" s="183" t="s">
        <v>49</v>
      </c>
      <c r="Y56" s="173"/>
      <c r="Z56" s="173"/>
      <c r="AA56" s="173"/>
      <c r="AB56" s="173"/>
      <c r="AC56" s="182"/>
      <c r="AD56" s="182"/>
      <c r="AE56" s="182"/>
      <c r="AF56" s="182"/>
      <c r="AG56" s="182"/>
      <c r="AH56" s="182"/>
    </row>
    <row r="57" spans="1:67" hidden="1" x14ac:dyDescent="0.25">
      <c r="A57" s="173" t="s">
        <v>27</v>
      </c>
      <c r="B57" s="174" t="e">
        <f>SUM(Basic!#REF!:'Basic'!AM133)*'System Info'!B25</f>
        <v>#REF!</v>
      </c>
      <c r="C57" s="174" t="e">
        <f>SUM(Basic!#REF!:'Basic'!AP133)*'System Info'!B7</f>
        <v>#REF!</v>
      </c>
      <c r="D57" s="174"/>
      <c r="E57" s="174" t="e">
        <f>SUM(Basic!#REF!:'Basic'!AQ133)*'System Info'!#REF!</f>
        <v>#REF!</v>
      </c>
      <c r="F57" s="174"/>
      <c r="X57" s="184" t="s">
        <v>91</v>
      </c>
      <c r="Y57" s="173">
        <f>IF(ISBLANK(D11)+ISBLANK(D12)+ISBLANK(D13)+ISBLANK(D14)+ISBLANK(D15),0,Quantity1*Hour1*Days1*Y76)</f>
        <v>0</v>
      </c>
      <c r="Z57" s="173">
        <f>IF(ISBLANK(E11)+ISBLANK(E12)+ISBLANK(E13)+ISBLANK(E14)+ISBLANK(E15),0,Quantity2*Hour2*Days2*Z76)</f>
        <v>0</v>
      </c>
      <c r="AA57" s="173">
        <f>IF(ISBLANK(F11)+ISBLANK(F12)+ISBLANK(F13)+ISBLANK(F14)+ISBLANK(F15),0,Quantity3*Hour3*Days3*AA76)</f>
        <v>0</v>
      </c>
      <c r="AB57" s="173">
        <f>IF(ISBLANK(G11)+ISBLANK(G12)+ISBLANK(G13)+ISBLANK(G14)+ISBLANK(G15),0,Quantity4*Hour4*Days4*AB76)</f>
        <v>0</v>
      </c>
      <c r="AC57" s="173">
        <f>IF(ISBLANK(H11)+ISBLANK(H12)+ISBLANK(H13)+ISBLANK(H14)+ISBLANK(H15),0,Quantity5*Hour5*Days5*AC76)</f>
        <v>0</v>
      </c>
      <c r="AD57" s="173">
        <f>IF(ISBLANK(I11)+ISBLANK(I12)+ISBLANK(I13)+ISBLANK(I14)+ISBLANK(I15),0,Quantity6*Hour6*Days6*AD76)</f>
        <v>0</v>
      </c>
      <c r="AE57" s="173">
        <f>IF(ISBLANK(J11)+ISBLANK(J12)+ISBLANK(J13)+ISBLANK(J14)+ISBLANK(J15),0,Quantity7*Hour7*Days7*AE76)</f>
        <v>0</v>
      </c>
      <c r="AF57" s="173">
        <f>IF(ISBLANK(K11)+ISBLANK(K12)+ISBLANK(K13)+ISBLANK(K14)+ISBLANK(K15),0,Quantity8*Hour8*Days8*AF76)</f>
        <v>0</v>
      </c>
      <c r="AG57" s="173">
        <f>IF(ISBLANK(L11)+ISBLANK(L12)+ISBLANK(L13)+ISBLANK(L14)+ISBLANK(L15),0,Quantity9*Hour9*Days9*AG76)</f>
        <v>0</v>
      </c>
      <c r="AH57" s="173">
        <f>IF(ISBLANK(M11)+ISBLANK(M12)+ISBLANK(M13)+ISBLANK(M14)+ISBLANK(M15),0,Quantity10*Hour10*Days10*AH76)</f>
        <v>0</v>
      </c>
    </row>
    <row r="58" spans="1:67" hidden="1" x14ac:dyDescent="0.25">
      <c r="A58" s="173" t="s">
        <v>26</v>
      </c>
      <c r="B58" s="176" t="e">
        <f>B56-B57</f>
        <v>#REF!</v>
      </c>
      <c r="C58" s="176" t="e">
        <f>C56-B57</f>
        <v>#REF!</v>
      </c>
      <c r="D58" s="176"/>
      <c r="E58" s="176" t="e">
        <f>E56-B57</f>
        <v>#REF!</v>
      </c>
      <c r="F58" s="176"/>
      <c r="X58" s="184" t="s">
        <v>92</v>
      </c>
      <c r="Y58" s="173">
        <f>IF(ISBLANK(D11)+ISBLANK(D12)+ISBLANK(D13)+ISBLANK(D14)+ISBLANK(D15),0,Quantity1*Hour1*Days1*Y77*120/1000)</f>
        <v>0</v>
      </c>
      <c r="Z58" s="173">
        <f>IF(ISBLANK(E11)+ISBLANK(E12)+ISBLANK(E13)+ISBLANK(E14)+ISBLANK(E15),0,Quantity2*Hour2*Days2*Z77*120/1000)</f>
        <v>0</v>
      </c>
      <c r="AA58" s="173">
        <f>IF(ISBLANK(F11)+ISBLANK(F12)+ISBLANK(F13)+ISBLANK(F14)+ISBLANK(F15),0,Quantity3*Hour3*Days3*AA77*120/1000)</f>
        <v>0</v>
      </c>
      <c r="AB58" s="173">
        <f>IF(ISBLANK(G11)+ISBLANK(G12)+ISBLANK(G13)+ISBLANK(G14)+ISBLANK(G15),0,Quantity4*Hour4*Days4*AB77*120/1000)</f>
        <v>0</v>
      </c>
      <c r="AC58" s="173">
        <f>IF(ISBLANK(H11)+ISBLANK(H12)+ISBLANK(H13)+ISBLANK(H14)+ISBLANK(H15),0,Quantity5*Hour5*Days5*AC77*120/1000)</f>
        <v>0</v>
      </c>
      <c r="AD58" s="173">
        <f>IF(ISBLANK(I11)+ISBLANK(I12)+ISBLANK(I13)+ISBLANK(I14)+ISBLANK(I15),0,Quantity6*Hour6*Days6*AD77*120/1000)</f>
        <v>0</v>
      </c>
      <c r="AE58" s="173">
        <f>IF(ISBLANK(J11)+ISBLANK(J12)+ISBLANK(J13)+ISBLANK(J14)+ISBLANK(J15),0,Quantity7*Hour7*Days7*AE77*120/1000)</f>
        <v>0</v>
      </c>
      <c r="AF58" s="173">
        <f>IF(ISBLANK(K11)+ISBLANK(K12)+ISBLANK(K13)+ISBLANK(K14)+ISBLANK(K15),0,Quantity8*Hour8*Days8*AF77*120/1000)</f>
        <v>0</v>
      </c>
      <c r="AG58" s="173">
        <f>IF(ISBLANK(L11)+ISBLANK(L12)+ISBLANK(L13)+ISBLANK(L14)+ISBLANK(L15),0,Quantity9*Hour9*Days9*AG77*120/1000)</f>
        <v>0</v>
      </c>
      <c r="AH58" s="173">
        <f>IF(ISBLANK(M11)+ISBLANK(M12)+ISBLANK(M13)+ISBLANK(M14)+ISBLANK(M15),0,Quantity10*Hour10*Days10*AH77*120/1000)</f>
        <v>0</v>
      </c>
    </row>
    <row r="59" spans="1:67" hidden="1" x14ac:dyDescent="0.25">
      <c r="A59" s="175" t="s">
        <v>28</v>
      </c>
      <c r="B59" s="177" t="e">
        <f>(B58/'System Info'!B25)*0.000703</f>
        <v>#REF!</v>
      </c>
      <c r="C59" s="177" t="e">
        <f>(C58/'System Info'!B25)*0.000703</f>
        <v>#REF!</v>
      </c>
      <c r="D59" s="177"/>
      <c r="E59" s="177" t="e">
        <f>(E58/'System Info'!B25)*0.000703</f>
        <v>#REF!</v>
      </c>
      <c r="F59" s="177"/>
      <c r="X59" s="185" t="s">
        <v>52</v>
      </c>
      <c r="Y59" s="173" t="s">
        <v>312</v>
      </c>
      <c r="Z59" s="173"/>
      <c r="AA59" s="173"/>
      <c r="AB59" s="173"/>
      <c r="AC59" s="182"/>
      <c r="AD59" s="182"/>
      <c r="AE59" s="182"/>
      <c r="AF59" s="182"/>
      <c r="AG59" s="182"/>
      <c r="AH59" s="182"/>
    </row>
    <row r="60" spans="1:67" hidden="1" x14ac:dyDescent="0.25">
      <c r="A60" s="173" t="s">
        <v>45</v>
      </c>
      <c r="B60" s="178" t="e">
        <f>B59/(0.000417)</f>
        <v>#REF!</v>
      </c>
      <c r="C60" s="178" t="e">
        <f>C59/(0.000417)</f>
        <v>#REF!</v>
      </c>
      <c r="D60" s="178"/>
      <c r="E60" s="178" t="e">
        <f>E59/(0.000417)</f>
        <v>#REF!</v>
      </c>
      <c r="F60" s="178"/>
      <c r="X60" s="185" t="s">
        <v>78</v>
      </c>
      <c r="Y60" s="173"/>
      <c r="Z60" s="173"/>
      <c r="AA60" s="173"/>
      <c r="AB60" s="173"/>
      <c r="AC60" s="182"/>
      <c r="AD60" s="182"/>
      <c r="AE60" s="182"/>
      <c r="AF60" s="182"/>
      <c r="AG60" s="182"/>
      <c r="AH60" s="182"/>
    </row>
    <row r="61" spans="1:67" hidden="1" x14ac:dyDescent="0.25">
      <c r="A61" s="173" t="s">
        <v>46</v>
      </c>
      <c r="B61" s="179"/>
      <c r="C61" s="179"/>
      <c r="D61" s="179"/>
      <c r="E61" s="179"/>
      <c r="F61" s="179"/>
      <c r="X61" s="185" t="s">
        <v>79</v>
      </c>
      <c r="Y61" s="173"/>
      <c r="Z61" s="173"/>
      <c r="AA61" s="173"/>
      <c r="AB61" s="173"/>
      <c r="AC61" s="182"/>
      <c r="AD61" s="182"/>
      <c r="AE61" s="182"/>
      <c r="AF61" s="182"/>
      <c r="AG61" s="182"/>
      <c r="AH61" s="182"/>
    </row>
    <row r="62" spans="1:67" hidden="1" x14ac:dyDescent="0.25">
      <c r="A62" s="179"/>
      <c r="B62" s="202"/>
      <c r="C62" s="202"/>
      <c r="D62" s="202"/>
      <c r="E62" s="202"/>
      <c r="F62" s="172"/>
      <c r="X62" s="186" t="s">
        <v>96</v>
      </c>
      <c r="Y62" s="187">
        <f>IF(ISBLANK(D11)+ISBLANK(D12)+ISBLANK(D13)+ISBLANK(D14)+ISBLANK(D15),0,Y70*Quantity1/Y73)</f>
        <v>0</v>
      </c>
      <c r="Z62" s="187">
        <f>IF(ISBLANK(E11)+ISBLANK(E12)+ISBLANK(E13)+ISBLANK(E14)+ISBLANK(E15),0,Z70*Quantity2/Z73)</f>
        <v>0</v>
      </c>
      <c r="AA62" s="187">
        <f>IF(ISBLANK(F11)+ISBLANK(F12)+ISBLANK(F13)+ISBLANK(F14)+ISBLANK(F15),0,AA70*Quantity3/AA73)</f>
        <v>0</v>
      </c>
      <c r="AB62" s="187">
        <f>IF(ISBLANK(G11)+ISBLANK(G12)+ISBLANK(G13)+ISBLANK(G14)+ISBLANK(G15),0,AB70*Quantity4/AB73)</f>
        <v>0</v>
      </c>
      <c r="AC62" s="187">
        <f>IF(ISBLANK(H11)+ISBLANK(H12)+ISBLANK(H13)+ISBLANK(H14)+ISBLANK(H15),0,AC70*Quantity5/AC73)</f>
        <v>0</v>
      </c>
      <c r="AD62" s="187">
        <f>IF(ISBLANK(I11)+ISBLANK(I12)+ISBLANK(I13)+ISBLANK(I14)+ISBLANK(I15),0,AD70*Quantity6/AD73)</f>
        <v>0</v>
      </c>
      <c r="AE62" s="187">
        <f>IF(ISBLANK(J11)+ISBLANK(J12)+ISBLANK(J13)+ISBLANK(J14)+ISBLANK(J15),0,AE70*Quantity7/AE73)</f>
        <v>0</v>
      </c>
      <c r="AF62" s="187">
        <f>IF(ISBLANK(K11)+ISBLANK(K12)+ISBLANK(K13)+ISBLANK(K14)+ISBLANK(K15),0,AF70*Quantity8/AF73)</f>
        <v>0</v>
      </c>
      <c r="AG62" s="187">
        <f>IF(ISBLANK(L11)+ISBLANK(L12)+ISBLANK(L13)+ISBLANK(L14)+ISBLANK(L15),0,AG70*Quantity9/AG73)</f>
        <v>0</v>
      </c>
      <c r="AH62" s="187">
        <f>IF(ISBLANK(M11)+ISBLANK(M12)+ISBLANK(M13)+ISBLANK(M14)+ISBLANK(M15),0,AH70*Quantity10/AH73)</f>
        <v>0</v>
      </c>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row>
    <row r="63" spans="1:67" ht="15" hidden="1" customHeight="1" x14ac:dyDescent="0.25">
      <c r="A63" s="202" t="s">
        <v>60</v>
      </c>
      <c r="B63" s="202"/>
      <c r="C63" s="202"/>
      <c r="D63" s="202"/>
      <c r="E63" s="202"/>
      <c r="F63" s="172"/>
      <c r="X63" s="186" t="s">
        <v>97</v>
      </c>
      <c r="Y63" s="182">
        <f>Y71*Quantity1/Y74</f>
        <v>0</v>
      </c>
      <c r="Z63" s="182">
        <f>Z71*Quantity2/Z74</f>
        <v>0</v>
      </c>
      <c r="AA63" s="182">
        <f>AA71*Quantity3/AA74</f>
        <v>0</v>
      </c>
      <c r="AB63" s="182">
        <f>AB71*Quantity4/AB74</f>
        <v>0</v>
      </c>
      <c r="AC63" s="182">
        <f>AC71*Quantity5/AC74</f>
        <v>0</v>
      </c>
      <c r="AD63" s="182">
        <f>AD71*Quantity6/AD74</f>
        <v>0</v>
      </c>
      <c r="AE63" s="182">
        <f>AE71*Quantity7/AE74</f>
        <v>0</v>
      </c>
      <c r="AF63" s="182">
        <f>AF71*Quantity8/AF74</f>
        <v>0</v>
      </c>
      <c r="AG63" s="182">
        <f>AG71*Quantity9/AG74</f>
        <v>0</v>
      </c>
      <c r="AH63" s="182">
        <f>AH71*Quantity10/AH74</f>
        <v>0</v>
      </c>
    </row>
    <row r="64" spans="1:67" hidden="1" x14ac:dyDescent="0.25">
      <c r="A64" s="202"/>
      <c r="B64" s="180" t="e">
        <f>'System Info'!$B$5*((B56/'System Info'!$B$25)/(#REF!+(B56/'System Info'!$B$25)))/'System Info'!$B$6</f>
        <v>#REF!</v>
      </c>
      <c r="C64" s="180" t="e">
        <f>'System Info'!$B$5*((C56/'System Info'!$B$25)/(#REF!+(C56/'System Info'!$B$25)))/'System Info'!$B$6</f>
        <v>#REF!</v>
      </c>
      <c r="D64" s="180"/>
      <c r="E64" s="180" t="e">
        <f>'System Info'!$B$5*((E56/'System Info'!$B$25)/(#REF!+(E56/'System Info'!$B$25)))/'System Info'!$B$6</f>
        <v>#REF!</v>
      </c>
      <c r="F64" s="180"/>
      <c r="X64" s="186" t="s">
        <v>98</v>
      </c>
      <c r="Y64" s="182">
        <f>Y72*Quantity1/Y75</f>
        <v>0</v>
      </c>
      <c r="Z64" s="182">
        <f>Z72*Quantity2/Z75</f>
        <v>0</v>
      </c>
      <c r="AA64" s="182">
        <f>AA72*Quantity3/AA75</f>
        <v>0</v>
      </c>
      <c r="AB64" s="182">
        <f>AB72*Quantity4/AB75</f>
        <v>0</v>
      </c>
      <c r="AC64" s="182">
        <f>AC72*Quantity5/AC75</f>
        <v>0</v>
      </c>
      <c r="AD64" s="182">
        <f>AD72*Quantity6/AD75</f>
        <v>0</v>
      </c>
      <c r="AE64" s="182">
        <f>AE72*Quantity7/AE75</f>
        <v>0</v>
      </c>
      <c r="AF64" s="182">
        <f>AF72*Quantity8/AF75</f>
        <v>0</v>
      </c>
      <c r="AG64" s="182">
        <f>AG72*Quantity9/AG75</f>
        <v>0</v>
      </c>
      <c r="AH64" s="182">
        <f>AH72*Quantity10/AH75</f>
        <v>0</v>
      </c>
    </row>
    <row r="65" spans="1:67" hidden="1" x14ac:dyDescent="0.25">
      <c r="A65" s="173" t="s">
        <v>55</v>
      </c>
      <c r="B65" s="181" t="e">
        <f>((B56/'System Info'!$B$25)/(#REF!+(B56/'System Info'!$B$25))) * 'System Info'!$B$23</f>
        <v>#REF!</v>
      </c>
      <c r="C65" s="181" t="e">
        <f>((C56/'System Info'!$B$25)/(#REF!+(C56/'System Info'!$B$25))) * 'System Info'!$B$23</f>
        <v>#REF!</v>
      </c>
      <c r="D65" s="181"/>
      <c r="E65" s="181" t="e">
        <f>((E56/'System Info'!$B$25)/(#REF!+(E56/'System Info'!$B$25))) * 'System Info'!$B$23</f>
        <v>#REF!</v>
      </c>
      <c r="F65" s="181"/>
      <c r="X65" s="184" t="s">
        <v>105</v>
      </c>
      <c r="Y65" s="182">
        <f>Y71*Quantity1</f>
        <v>0</v>
      </c>
      <c r="Z65" s="182">
        <f>Z71*Quantity2</f>
        <v>0</v>
      </c>
      <c r="AA65" s="182">
        <f>AA71*Quantity3</f>
        <v>0</v>
      </c>
      <c r="AB65" s="182">
        <f>AB71*Quantity4</f>
        <v>0</v>
      </c>
      <c r="AC65" s="182">
        <f>AC71*Quantity5</f>
        <v>0</v>
      </c>
      <c r="AD65" s="182">
        <f>AD71*Quantity6</f>
        <v>0</v>
      </c>
      <c r="AE65" s="182">
        <f>AE71*Quantity7</f>
        <v>0</v>
      </c>
      <c r="AF65" s="182">
        <f>AF71*Quantity8</f>
        <v>0</v>
      </c>
      <c r="AG65" s="182">
        <f>AG71*Quantity9</f>
        <v>0</v>
      </c>
      <c r="AH65" s="182">
        <f>AH71*Quantity10</f>
        <v>0</v>
      </c>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1:67" hidden="1" x14ac:dyDescent="0.25">
      <c r="A66" s="173" t="s">
        <v>56</v>
      </c>
      <c r="B66" s="176" t="e">
        <f>B58+B64+B65</f>
        <v>#REF!</v>
      </c>
      <c r="C66" s="176" t="e">
        <f>C58+C64+C65</f>
        <v>#REF!</v>
      </c>
      <c r="D66" s="176"/>
      <c r="E66" s="176" t="e">
        <f>E58+E64+E65</f>
        <v>#REF!</v>
      </c>
      <c r="F66" s="176"/>
      <c r="X66" s="184" t="s">
        <v>106</v>
      </c>
      <c r="Y66" s="182">
        <f>Y72*Quantity1</f>
        <v>0</v>
      </c>
      <c r="Z66" s="182">
        <f>Z72*Quantity2</f>
        <v>0</v>
      </c>
      <c r="AA66" s="182">
        <f>AA72*Quantity3</f>
        <v>0</v>
      </c>
      <c r="AB66" s="182">
        <f>AB72*Quantity4</f>
        <v>0</v>
      </c>
      <c r="AC66" s="182">
        <f>AC72*Quantity5</f>
        <v>0</v>
      </c>
      <c r="AD66" s="182">
        <f>AD72*Quantity6</f>
        <v>0</v>
      </c>
      <c r="AE66" s="182">
        <f>AE72*Quantity7</f>
        <v>0</v>
      </c>
      <c r="AF66" s="182">
        <f>AF72*Quantity8</f>
        <v>0</v>
      </c>
      <c r="AG66" s="182">
        <f>AG72*Quantity9</f>
        <v>0</v>
      </c>
      <c r="AH66" s="182">
        <f>AH72*Quantity10</f>
        <v>0</v>
      </c>
    </row>
    <row r="67" spans="1:67" hidden="1" x14ac:dyDescent="0.25">
      <c r="A67" s="175" t="s">
        <v>63</v>
      </c>
      <c r="B67" s="173"/>
      <c r="C67" s="173"/>
      <c r="D67" s="173"/>
      <c r="E67" s="173"/>
      <c r="F67" s="173"/>
      <c r="X67" s="184" t="s">
        <v>260</v>
      </c>
      <c r="Y67" s="173">
        <f t="shared" ref="Y67:AH67" si="0">IF(ISBLANK(D11)+ISBLANK(D12)+ISBLANK(D13)+ISBLANK(D14)+ISBLANK(D15),0,IF(Y79=2,Y64,Y63))</f>
        <v>0</v>
      </c>
      <c r="Z67" s="173">
        <f t="shared" si="0"/>
        <v>0</v>
      </c>
      <c r="AA67" s="173">
        <f t="shared" si="0"/>
        <v>0</v>
      </c>
      <c r="AB67" s="173">
        <f t="shared" si="0"/>
        <v>0</v>
      </c>
      <c r="AC67" s="173">
        <f t="shared" si="0"/>
        <v>0</v>
      </c>
      <c r="AD67" s="173">
        <f t="shared" si="0"/>
        <v>0</v>
      </c>
      <c r="AE67" s="173">
        <f t="shared" si="0"/>
        <v>0</v>
      </c>
      <c r="AF67" s="173">
        <f t="shared" si="0"/>
        <v>0</v>
      </c>
      <c r="AG67" s="173">
        <f t="shared" si="0"/>
        <v>0</v>
      </c>
      <c r="AH67" s="173">
        <f t="shared" si="0"/>
        <v>0</v>
      </c>
    </row>
    <row r="68" spans="1:67" hidden="1" x14ac:dyDescent="0.25">
      <c r="A68" s="173"/>
      <c r="B68" s="202"/>
      <c r="C68" s="202"/>
      <c r="D68" s="202"/>
      <c r="E68" s="202"/>
      <c r="F68" s="172"/>
      <c r="X68" s="184" t="s">
        <v>261</v>
      </c>
      <c r="Y68" s="182">
        <f t="shared" ref="Y68:AH68" si="1">IF(ISBLANK(D11)+ISBLANK(D12)+ISBLANK(D13)+ISBLANK(D14)+ISBLANK(D15),0,IF(Y79=2,Y66,Y65))</f>
        <v>0</v>
      </c>
      <c r="Z68" s="182">
        <f t="shared" si="1"/>
        <v>0</v>
      </c>
      <c r="AA68" s="182">
        <f t="shared" si="1"/>
        <v>0</v>
      </c>
      <c r="AB68" s="182">
        <f t="shared" si="1"/>
        <v>0</v>
      </c>
      <c r="AC68" s="182">
        <f t="shared" si="1"/>
        <v>0</v>
      </c>
      <c r="AD68" s="182">
        <f t="shared" si="1"/>
        <v>0</v>
      </c>
      <c r="AE68" s="182">
        <f t="shared" si="1"/>
        <v>0</v>
      </c>
      <c r="AF68" s="182">
        <f t="shared" si="1"/>
        <v>0</v>
      </c>
      <c r="AG68" s="182">
        <f t="shared" si="1"/>
        <v>0</v>
      </c>
      <c r="AH68" s="182">
        <f t="shared" si="1"/>
        <v>0</v>
      </c>
    </row>
    <row r="69" spans="1:67" ht="30" hidden="1" customHeight="1" x14ac:dyDescent="0.25">
      <c r="A69" s="202" t="s">
        <v>64</v>
      </c>
      <c r="B69" s="202"/>
      <c r="C69" s="202"/>
      <c r="D69" s="202"/>
      <c r="E69" s="202"/>
      <c r="F69" s="172"/>
      <c r="X69" s="183" t="s">
        <v>269</v>
      </c>
      <c r="Y69" s="173"/>
      <c r="Z69" s="173"/>
      <c r="AA69" s="173"/>
      <c r="AB69" s="173"/>
      <c r="AC69" s="182"/>
      <c r="AD69" s="182"/>
      <c r="AE69" s="182"/>
      <c r="AF69" s="182"/>
      <c r="AG69" s="182"/>
      <c r="AH69" s="182"/>
    </row>
    <row r="70" spans="1:67" hidden="1" x14ac:dyDescent="0.25">
      <c r="A70" s="202"/>
      <c r="B70" s="182" t="e">
        <f>SUM(#REF!)</f>
        <v>#REF!</v>
      </c>
      <c r="C70" s="182" t="e">
        <f>SUM(#REF!)</f>
        <v>#REF!</v>
      </c>
      <c r="D70" s="182"/>
      <c r="E70" s="182" t="e">
        <f>SUM(#REF!)</f>
        <v>#REF!</v>
      </c>
      <c r="F70" s="182"/>
      <c r="X70" s="188" t="s">
        <v>109</v>
      </c>
      <c r="Y70" s="173">
        <f>IFERROR(VLOOKUP(Type1,Consumption!$A$4:$R$69,14,FALSE),0)</f>
        <v>0</v>
      </c>
      <c r="Z70" s="173">
        <f>IFERROR(VLOOKUP(Type2,Consumption!$A$4:$R$69,14,FALSE),0)</f>
        <v>0</v>
      </c>
      <c r="AA70" s="173">
        <f>IFERROR(VLOOKUP(Type3,Consumption!$A$4:$R$69,14,FALSE),0)</f>
        <v>0</v>
      </c>
      <c r="AB70" s="173">
        <f>IFERROR(VLOOKUP(Type4,Consumption!$A$4:$R$69,14,FALSE),0)</f>
        <v>0</v>
      </c>
      <c r="AC70" s="173">
        <f>IFERROR(VLOOKUP(Type5,Consumption!$A$4:$R$69,14,FALSE),0)</f>
        <v>0</v>
      </c>
      <c r="AD70" s="173">
        <f>IFERROR(VLOOKUP(Type6,Consumption!$A$4:$R$69,14,FALSE),0)</f>
        <v>0</v>
      </c>
      <c r="AE70" s="173">
        <f>IFERROR(VLOOKUP(Type7,Consumption!$A$4:$R$69,14,FALSE),0)</f>
        <v>0</v>
      </c>
      <c r="AF70" s="173">
        <f>IFERROR(VLOOKUP(Type8,Consumption!$A$4:$R$69,14,FALSE),0)</f>
        <v>0</v>
      </c>
      <c r="AG70" s="173">
        <f>IFERROR(VLOOKUP(Type9,Consumption!$A$4:$R$69,14,FALSE),0)</f>
        <v>0</v>
      </c>
      <c r="AH70" s="173">
        <f>IFERROR(VLOOKUP(Type10,Consumption!$A$4:$R$69,14,FALSE),0)</f>
        <v>0</v>
      </c>
    </row>
    <row r="71" spans="1:67" hidden="1" x14ac:dyDescent="0.25">
      <c r="A71" s="173" t="s">
        <v>61</v>
      </c>
      <c r="B71" s="181" t="e">
        <f>SUM(#REF!)</f>
        <v>#REF!</v>
      </c>
      <c r="C71" s="181" t="e">
        <f>SUM(#REF!)</f>
        <v>#REF!</v>
      </c>
      <c r="D71" s="181"/>
      <c r="E71" s="181" t="e">
        <f>SUM(#REF!)</f>
        <v>#REF!</v>
      </c>
      <c r="F71" s="181"/>
      <c r="X71" s="188" t="s">
        <v>110</v>
      </c>
      <c r="Y71" s="173">
        <f>IFERROR(VLOOKUP(Type1,Consumption!$A$4:$R$69,16,FALSE),0)</f>
        <v>0</v>
      </c>
      <c r="Z71" s="173">
        <f>IFERROR(VLOOKUP(Type2,Consumption!$A$4:$R$69,16,FALSE),0)</f>
        <v>0</v>
      </c>
      <c r="AA71" s="173">
        <f>IFERROR(VLOOKUP(Type3,Consumption!$A$4:$R$69,16,FALSE),0)</f>
        <v>0</v>
      </c>
      <c r="AB71" s="173">
        <f>IFERROR(VLOOKUP(Type4,Consumption!$A$4:$R$69,16,FALSE),0)</f>
        <v>0</v>
      </c>
      <c r="AC71" s="173">
        <f>IFERROR(VLOOKUP(Type5,Consumption!$A$4:$R$69,16,FALSE),0)</f>
        <v>0</v>
      </c>
      <c r="AD71" s="173">
        <f>IFERROR(VLOOKUP(Type6,Consumption!$A$4:$R$69,16,FALSE),0)</f>
        <v>0</v>
      </c>
      <c r="AE71" s="173">
        <f>IFERROR(VLOOKUP(Type7,Consumption!$A$4:$R$69,16,FALSE),0)</f>
        <v>0</v>
      </c>
      <c r="AF71" s="173">
        <f>IFERROR(VLOOKUP(Type8,Consumption!$A$4:$R$69,16,FALSE),0)</f>
        <v>0</v>
      </c>
      <c r="AG71" s="173">
        <f>IFERROR(VLOOKUP(Type9,Consumption!$A$4:$R$69,16,FALSE),0)</f>
        <v>0</v>
      </c>
      <c r="AH71" s="173">
        <f>IFERROR(VLOOKUP(Type10,Consumption!$A$4:$R$69,16,FALSE),0)</f>
        <v>0</v>
      </c>
    </row>
    <row r="72" spans="1:67" hidden="1" x14ac:dyDescent="0.25">
      <c r="A72" s="173" t="s">
        <v>62</v>
      </c>
      <c r="B72" s="176" t="e">
        <f>B66+B70-B71</f>
        <v>#REF!</v>
      </c>
      <c r="C72" s="176" t="e">
        <f>C66+C70-C71</f>
        <v>#REF!</v>
      </c>
      <c r="D72" s="176"/>
      <c r="E72" s="176" t="e">
        <f>E66+E70-E71</f>
        <v>#REF!</v>
      </c>
      <c r="F72" s="176"/>
      <c r="X72" s="188" t="s">
        <v>212</v>
      </c>
      <c r="Y72" s="173">
        <f>IFERROR(VLOOKUP(Type1,Consumption!$A$4:$R$69,17,FALSE),0)</f>
        <v>0</v>
      </c>
      <c r="Z72" s="173">
        <f>IFERROR(VLOOKUP(Type2,Consumption!$A$4:$R$69,17,FALSE),0)</f>
        <v>0</v>
      </c>
      <c r="AA72" s="173">
        <f>IFERROR(VLOOKUP(Type3,Consumption!$A$4:$R$69,17,FALSE),0)</f>
        <v>0</v>
      </c>
      <c r="AB72" s="173">
        <f>IFERROR(VLOOKUP(Type4,Consumption!$A$4:$R$69,17,FALSE),0)</f>
        <v>0</v>
      </c>
      <c r="AC72" s="173">
        <f>IFERROR(VLOOKUP(Type5,Consumption!$A$4:$R$69,17,FALSE),0)</f>
        <v>0</v>
      </c>
      <c r="AD72" s="173">
        <f>IFERROR(VLOOKUP(Type6,Consumption!$A$4:$R$69,17,FALSE),0)</f>
        <v>0</v>
      </c>
      <c r="AE72" s="173">
        <f>IFERROR(VLOOKUP(Type7,Consumption!$A$4:$R$69,17,FALSE),0)</f>
        <v>0</v>
      </c>
      <c r="AF72" s="173">
        <f>IFERROR(VLOOKUP(Type8,Consumption!$A$4:$R$69,17,FALSE),0)</f>
        <v>0</v>
      </c>
      <c r="AG72" s="173">
        <f>IFERROR(VLOOKUP(Type9,Consumption!$A$4:$R$69,17,FALSE),0)</f>
        <v>0</v>
      </c>
      <c r="AH72" s="173">
        <f>IFERROR(VLOOKUP(Type10,Consumption!$A$4:$R$69,17,FALSE),0)</f>
        <v>0</v>
      </c>
    </row>
    <row r="73" spans="1:67" hidden="1" x14ac:dyDescent="0.25">
      <c r="A73" s="175" t="s">
        <v>63</v>
      </c>
      <c r="X73" s="188" t="s">
        <v>111</v>
      </c>
      <c r="Y73" s="173">
        <f>Advanced!$G$18</f>
        <v>3</v>
      </c>
      <c r="Z73" s="173">
        <f>Advanced!$G$18</f>
        <v>3</v>
      </c>
      <c r="AA73" s="173">
        <f>Advanced!$G$18</f>
        <v>3</v>
      </c>
      <c r="AB73" s="173">
        <f>Advanced!$G$18</f>
        <v>3</v>
      </c>
      <c r="AC73" s="173">
        <f>Advanced!$G$18</f>
        <v>3</v>
      </c>
      <c r="AD73" s="173">
        <f>Advanced!$G$18</f>
        <v>3</v>
      </c>
      <c r="AE73" s="173">
        <f>Advanced!$G$18</f>
        <v>3</v>
      </c>
      <c r="AF73" s="173">
        <f>Advanced!$G$18</f>
        <v>3</v>
      </c>
      <c r="AG73" s="173">
        <f>Advanced!$G$18</f>
        <v>3</v>
      </c>
      <c r="AH73" s="173">
        <f>Advanced!$G$18</f>
        <v>3</v>
      </c>
    </row>
    <row r="74" spans="1:67" hidden="1" x14ac:dyDescent="0.25">
      <c r="X74" s="188" t="s">
        <v>112</v>
      </c>
      <c r="Y74" s="173">
        <f>Advanced!$G$19</f>
        <v>2</v>
      </c>
      <c r="Z74" s="173">
        <f>Advanced!$G$19</f>
        <v>2</v>
      </c>
      <c r="AA74" s="173">
        <f>Advanced!$G$19</f>
        <v>2</v>
      </c>
      <c r="AB74" s="173">
        <f>Advanced!$G$19</f>
        <v>2</v>
      </c>
      <c r="AC74" s="173">
        <f>Advanced!$G$19</f>
        <v>2</v>
      </c>
      <c r="AD74" s="173">
        <f>Advanced!$G$19</f>
        <v>2</v>
      </c>
      <c r="AE74" s="173">
        <f>Advanced!$G$19</f>
        <v>2</v>
      </c>
      <c r="AF74" s="173">
        <f>Advanced!$G$19</f>
        <v>2</v>
      </c>
      <c r="AG74" s="173">
        <f>Advanced!$G$19</f>
        <v>2</v>
      </c>
      <c r="AH74" s="173">
        <f>Advanced!$G$19</f>
        <v>2</v>
      </c>
    </row>
    <row r="75" spans="1:67" hidden="1" x14ac:dyDescent="0.25">
      <c r="X75" s="188" t="s">
        <v>113</v>
      </c>
      <c r="Y75" s="173">
        <f>Advanced!$G$20</f>
        <v>2</v>
      </c>
      <c r="Z75" s="173">
        <f>Advanced!$G$20</f>
        <v>2</v>
      </c>
      <c r="AA75" s="173">
        <f>Advanced!$G$20</f>
        <v>2</v>
      </c>
      <c r="AB75" s="173">
        <f>Advanced!$G$20</f>
        <v>2</v>
      </c>
      <c r="AC75" s="173">
        <f>Advanced!$G$20</f>
        <v>2</v>
      </c>
      <c r="AD75" s="173">
        <f>Advanced!$G$20</f>
        <v>2</v>
      </c>
      <c r="AE75" s="173">
        <f>Advanced!$G$20</f>
        <v>2</v>
      </c>
      <c r="AF75" s="173">
        <f>Advanced!$G$20</f>
        <v>2</v>
      </c>
      <c r="AG75" s="173">
        <f>Advanced!$G$20</f>
        <v>2</v>
      </c>
      <c r="AH75" s="173">
        <f>Advanced!$G$20</f>
        <v>2</v>
      </c>
    </row>
    <row r="76" spans="1:67" hidden="1" x14ac:dyDescent="0.25">
      <c r="X76" s="188" t="s">
        <v>114</v>
      </c>
      <c r="Y76" s="187">
        <f>IFERROR(VLOOKUP(Type1,Consumption!$A$4:$M$69,5,FALSE),0)</f>
        <v>0</v>
      </c>
      <c r="Z76" s="187">
        <f>IFERROR(VLOOKUP(Type2,Consumption!$A$4:$M$69,5,FALSE),0)</f>
        <v>0</v>
      </c>
      <c r="AA76" s="187">
        <f>IFERROR(VLOOKUP(Type3,Consumption!$A$4:$M$69,5,FALSE),0)</f>
        <v>0</v>
      </c>
      <c r="AB76" s="187">
        <f>IFERROR(VLOOKUP(Type4,Consumption!$A$4:$M$69,5,FALSE),0)</f>
        <v>0</v>
      </c>
      <c r="AC76" s="187">
        <f>IFERROR(VLOOKUP(Type5,Consumption!$A$4:$M$69,5,FALSE),0)</f>
        <v>0</v>
      </c>
      <c r="AD76" s="187">
        <f>IFERROR(VLOOKUP(Type6,Consumption!$A$4:$M$69,5,FALSE),0)</f>
        <v>0</v>
      </c>
      <c r="AE76" s="187">
        <f>IFERROR(VLOOKUP(Type7,Consumption!$A$4:$M$69,5,FALSE),0)</f>
        <v>0</v>
      </c>
      <c r="AF76" s="187">
        <f>IFERROR(VLOOKUP(Type8,Consumption!$A$4:$M$69,5,FALSE),0)</f>
        <v>0</v>
      </c>
      <c r="AG76" s="187">
        <f>IFERROR(VLOOKUP(Type9,Consumption!$A$4:$M$69,5,FALSE),0)</f>
        <v>0</v>
      </c>
      <c r="AH76" s="187">
        <f>IFERROR(VLOOKUP(Type10,Consumption!$A$4:$M$69,5,FALSE),0)</f>
        <v>0</v>
      </c>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row>
    <row r="77" spans="1:67" hidden="1" x14ac:dyDescent="0.25">
      <c r="X77" s="188" t="s">
        <v>115</v>
      </c>
      <c r="Y77" s="187">
        <f>IFERROR(VLOOKUP(Type1,Consumption!$A$4:$M$69,8,FALSE),0)</f>
        <v>0</v>
      </c>
      <c r="Z77" s="187">
        <f>IFERROR(VLOOKUP(Type2,Consumption!$A$4:$M$69,8,FALSE),0)</f>
        <v>0</v>
      </c>
      <c r="AA77" s="187">
        <f>IFERROR(VLOOKUP(Type3,Consumption!$A$4:$M$69,8,FALSE),0)</f>
        <v>0</v>
      </c>
      <c r="AB77" s="187">
        <f>IFERROR(VLOOKUP(Type4,Consumption!$A$4:$M$69,8,FALSE),0)</f>
        <v>0</v>
      </c>
      <c r="AC77" s="187">
        <f>IFERROR(VLOOKUP(Type5,Consumption!$A$4:$M$69,8,FALSE),0)</f>
        <v>0</v>
      </c>
      <c r="AD77" s="187">
        <f>IFERROR(VLOOKUP(Type6,Consumption!$A$4:$M$69,8,FALSE),0)</f>
        <v>0</v>
      </c>
      <c r="AE77" s="187">
        <f>IFERROR(VLOOKUP(Type7,Consumption!$A$4:$M$69,8,FALSE),0)</f>
        <v>0</v>
      </c>
      <c r="AF77" s="187">
        <f>IFERROR(VLOOKUP(Type8,Consumption!$A$4:$M$69,8,FALSE),0)</f>
        <v>0</v>
      </c>
      <c r="AG77" s="187">
        <f>IFERROR(VLOOKUP(Type9,Consumption!$A$4:$M$69,8,FALSE),0)</f>
        <v>0</v>
      </c>
      <c r="AH77" s="187">
        <f>IFERROR(VLOOKUP(Type10,Consumption!$A$4:$M$69,8,FALSE),0)</f>
        <v>0</v>
      </c>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row>
    <row r="78" spans="1:67" hidden="1" x14ac:dyDescent="0.25">
      <c r="X78" s="183" t="s">
        <v>284</v>
      </c>
      <c r="Y78" s="173"/>
      <c r="Z78" s="173"/>
      <c r="AA78" s="173"/>
      <c r="AB78" s="173"/>
      <c r="AC78" s="182"/>
      <c r="AD78" s="182"/>
      <c r="AE78" s="182"/>
      <c r="AF78" s="182"/>
      <c r="AG78" s="182"/>
      <c r="AH78" s="182"/>
    </row>
    <row r="79" spans="1:67" hidden="1" x14ac:dyDescent="0.25">
      <c r="X79" s="188" t="s">
        <v>223</v>
      </c>
      <c r="Y79" s="173">
        <f>IF(COUNTA(D11)=0,-1,IF(D15="Unsure",2,IF(D15="Corded",1,2)))</f>
        <v>-1</v>
      </c>
      <c r="Z79" s="173">
        <f>IF(COUNTA(E11)=0,-1,IF(E15="Unsure",2,IF(E15="Corded",1,2)))</f>
        <v>-1</v>
      </c>
      <c r="AA79" s="173">
        <f>IF(COUNTA(G11)=0,-1,IF(G15="Unsure",2,IF(G15="Corded",1,2)))</f>
        <v>-1</v>
      </c>
      <c r="AB79" s="173">
        <f>IF(COUNTA(H11)=0,-1,IF(H15="Unsure",2,IF(H15="Corded",1,2)))</f>
        <v>-1</v>
      </c>
      <c r="AC79" s="173">
        <f>IF(COUNTA(J11)=0,-1,IF(J15="Unsure",2,IF(J15="Corded",1,2)))</f>
        <v>-1</v>
      </c>
      <c r="AD79" s="173">
        <f>IF(COUNTA(L11)=0,-1,IF(L15="Unsure",2,IF(L15="Corded",1,2)))</f>
        <v>-1</v>
      </c>
      <c r="AE79" s="173">
        <f>IF(COUNTA(M11)=0,-1,IF(M15="Unsure",2,IF(M15="Corded",1,2)))</f>
        <v>-1</v>
      </c>
      <c r="AF79" s="173">
        <f>IF(COUNTA(N11)=0,-1,IF(N15="Unsure",2,IF(N15="Corded",1,2)))</f>
        <v>-1</v>
      </c>
      <c r="AG79" s="173">
        <f>IF(COUNTA(O11)=0,-1,IF(O15="Unsure",2,IF(O15="Corded",1,2)))</f>
        <v>-1</v>
      </c>
      <c r="AH79" s="173">
        <f>IF(COUNTA(P11)=0,-1,IF(P15="Unsure",2,IF(P15="Corded",1,2)))</f>
        <v>-1</v>
      </c>
    </row>
    <row r="80" spans="1:67" hidden="1" x14ac:dyDescent="0.25">
      <c r="X80" s="183" t="s">
        <v>231</v>
      </c>
      <c r="Y80" s="173"/>
      <c r="Z80" s="173"/>
      <c r="AA80" s="173"/>
      <c r="AB80" s="173"/>
      <c r="AC80" s="182"/>
      <c r="AD80" s="182"/>
      <c r="AE80" s="182"/>
      <c r="AF80" s="182"/>
      <c r="AG80" s="182"/>
      <c r="AH80" s="182"/>
    </row>
    <row r="81" spans="24:34" hidden="1" x14ac:dyDescent="0.25">
      <c r="X81" s="188" t="s">
        <v>263</v>
      </c>
      <c r="Y81" s="173">
        <f>IF(Y79=-1,0,IF(Y79=0,'System Info'!$D$18*Quantity1,IF(Y79=1,'System Info'!$D$17*Quantity1,IF(Y79=2,'System Info'!$D$18*Quantity1,0))))</f>
        <v>0</v>
      </c>
      <c r="Z81" s="173"/>
      <c r="AA81" s="173"/>
      <c r="AB81" s="173"/>
      <c r="AC81" s="182"/>
      <c r="AD81" s="182"/>
      <c r="AE81" s="182"/>
      <c r="AF81" s="182"/>
      <c r="AG81" s="182"/>
      <c r="AH81" s="182"/>
    </row>
    <row r="82" spans="24:34" hidden="1" x14ac:dyDescent="0.25">
      <c r="X82" s="183" t="s">
        <v>265</v>
      </c>
      <c r="Y82" s="173"/>
      <c r="Z82" s="173"/>
      <c r="AA82" s="173"/>
      <c r="AB82" s="173"/>
      <c r="AC82" s="182"/>
      <c r="AD82" s="182"/>
      <c r="AE82" s="182"/>
      <c r="AF82" s="182"/>
      <c r="AG82" s="182"/>
      <c r="AH82" s="182"/>
    </row>
    <row r="83" spans="24:34" hidden="1" x14ac:dyDescent="0.25">
      <c r="X83" s="183" t="s">
        <v>268</v>
      </c>
      <c r="Y83" s="173"/>
      <c r="Z83" s="173"/>
      <c r="AA83" s="173"/>
      <c r="AB83" s="173"/>
      <c r="AC83" s="182"/>
      <c r="AD83" s="182"/>
      <c r="AE83" s="182"/>
      <c r="AF83" s="182"/>
      <c r="AG83" s="182"/>
      <c r="AH83" s="182"/>
    </row>
    <row r="84" spans="24:34" hidden="1" x14ac:dyDescent="0.25">
      <c r="X84" s="183" t="s">
        <v>278</v>
      </c>
      <c r="Y84" s="173"/>
      <c r="Z84" s="173"/>
      <c r="AA84" s="173"/>
      <c r="AB84" s="173"/>
      <c r="AC84" s="182"/>
      <c r="AD84" s="182"/>
      <c r="AE84" s="182"/>
      <c r="AF84" s="182"/>
      <c r="AG84" s="182"/>
      <c r="AH84" s="182"/>
    </row>
    <row r="85" spans="24:34" hidden="1" x14ac:dyDescent="0.25">
      <c r="X85" s="173"/>
      <c r="Y85" s="182"/>
      <c r="Z85" s="182"/>
      <c r="AA85" s="173"/>
      <c r="AB85" s="173"/>
      <c r="AC85" s="173"/>
      <c r="AD85" s="173"/>
      <c r="AE85" s="173"/>
      <c r="AF85" s="173"/>
      <c r="AG85" s="173"/>
      <c r="AH85" s="173"/>
    </row>
    <row r="86" spans="24:34" hidden="1" x14ac:dyDescent="0.25">
      <c r="X86" s="182" t="s">
        <v>319</v>
      </c>
      <c r="Y86" s="182">
        <f>SUM(Y57:AH57)*'System Info'!$D$25/(1-'System Info'!$D$7)*30/100</f>
        <v>0</v>
      </c>
      <c r="Z86" s="182"/>
      <c r="AA86" s="173"/>
      <c r="AB86" s="173" t="s">
        <v>484</v>
      </c>
      <c r="AC86" s="173"/>
      <c r="AD86" s="182">
        <f>$Y$92*3</f>
        <v>0</v>
      </c>
      <c r="AE86" s="173"/>
      <c r="AF86" s="173"/>
      <c r="AG86" s="173"/>
      <c r="AH86" s="173"/>
    </row>
    <row r="87" spans="24:34" hidden="1" x14ac:dyDescent="0.25">
      <c r="X87" s="182" t="s">
        <v>313</v>
      </c>
      <c r="Y87" s="182">
        <f>SUM(Y57:AH57)*'System Info'!$D$25/(1-'System Info'!$D$7)*25/100</f>
        <v>0</v>
      </c>
      <c r="Z87" s="182"/>
      <c r="AA87" s="173"/>
      <c r="AB87" s="173" t="s">
        <v>485</v>
      </c>
      <c r="AC87" s="173"/>
      <c r="AD87" s="182">
        <f>$Y$92*3</f>
        <v>0</v>
      </c>
      <c r="AE87" s="173"/>
      <c r="AF87" s="173"/>
      <c r="AG87" s="173"/>
      <c r="AH87" s="173"/>
    </row>
    <row r="88" spans="24:34" hidden="1" x14ac:dyDescent="0.25">
      <c r="X88" s="182" t="s">
        <v>314</v>
      </c>
      <c r="Y88" s="182">
        <f>SUM(Y57:AH57)*'System Info'!$D$25/(1-'System Info'!$D$7)*20/100</f>
        <v>0</v>
      </c>
      <c r="Z88" s="182"/>
      <c r="AA88" s="173"/>
      <c r="AB88" s="173"/>
      <c r="AC88" s="173"/>
      <c r="AD88" s="173"/>
      <c r="AE88" s="173"/>
      <c r="AF88" s="173"/>
      <c r="AG88" s="173"/>
      <c r="AH88" s="173"/>
    </row>
    <row r="89" spans="24:34" hidden="1" x14ac:dyDescent="0.25">
      <c r="X89" s="182" t="s">
        <v>307</v>
      </c>
      <c r="Y89" s="182">
        <f>SUM(Y58:AH58)*'System Info'!$D$25</f>
        <v>0</v>
      </c>
      <c r="Z89" s="182"/>
      <c r="AA89" s="173"/>
      <c r="AB89" s="173"/>
      <c r="AC89" s="173"/>
      <c r="AD89" s="173"/>
      <c r="AE89" s="173"/>
      <c r="AF89" s="173"/>
      <c r="AG89" s="173"/>
      <c r="AH89" s="173"/>
    </row>
    <row r="90" spans="24:34" hidden="1" x14ac:dyDescent="0.25">
      <c r="X90" s="182" t="s">
        <v>61</v>
      </c>
      <c r="Y90" s="182">
        <f>SUM(Y62:AH62)</f>
        <v>0</v>
      </c>
      <c r="Z90" s="182"/>
      <c r="AA90" s="173"/>
      <c r="AB90" s="173"/>
      <c r="AC90" s="173"/>
      <c r="AD90" s="173"/>
      <c r="AE90" s="173"/>
      <c r="AF90" s="173"/>
      <c r="AG90" s="173"/>
      <c r="AH90" s="173"/>
    </row>
    <row r="91" spans="24:34" hidden="1" x14ac:dyDescent="0.25">
      <c r="X91" s="182" t="s">
        <v>316</v>
      </c>
      <c r="Y91" s="182">
        <f>SUM(Y67:AH67)</f>
        <v>0</v>
      </c>
      <c r="Z91" s="182"/>
      <c r="AA91" s="173"/>
      <c r="AB91" s="173"/>
      <c r="AC91" s="173"/>
      <c r="AD91" s="173"/>
      <c r="AE91" s="173"/>
      <c r="AF91" s="173"/>
      <c r="AG91" s="173"/>
      <c r="AH91" s="173"/>
    </row>
    <row r="92" spans="24:34" hidden="1" x14ac:dyDescent="0.25">
      <c r="X92" s="182" t="s">
        <v>315</v>
      </c>
      <c r="Y92" s="182">
        <f>SUM(Y68:AH68)</f>
        <v>0</v>
      </c>
      <c r="Z92" s="182"/>
      <c r="AA92" s="173"/>
      <c r="AB92" s="173"/>
      <c r="AC92" s="173"/>
      <c r="AD92" s="173"/>
      <c r="AE92" s="173"/>
      <c r="AF92" s="173"/>
      <c r="AG92" s="173"/>
      <c r="AH92" s="173"/>
    </row>
    <row r="93" spans="24:34" hidden="1" x14ac:dyDescent="0.25">
      <c r="X93" s="182" t="s">
        <v>320</v>
      </c>
      <c r="Y93" s="189">
        <f>Y86-Y89+Y90-Y91</f>
        <v>0</v>
      </c>
      <c r="Z93" s="182"/>
      <c r="AA93" s="173"/>
      <c r="AB93" s="189">
        <f>$Y$95</f>
        <v>0</v>
      </c>
      <c r="AC93" s="173"/>
      <c r="AD93" s="173"/>
      <c r="AE93" s="173"/>
      <c r="AF93" s="173"/>
      <c r="AG93" s="173"/>
      <c r="AH93" s="173"/>
    </row>
    <row r="94" spans="24:34" hidden="1" x14ac:dyDescent="0.25">
      <c r="X94" s="182" t="s">
        <v>317</v>
      </c>
      <c r="Y94" s="189">
        <f>Y87-Y89+Y90-Y91</f>
        <v>0</v>
      </c>
      <c r="Z94" s="182"/>
      <c r="AA94" s="173"/>
      <c r="AB94" s="189">
        <f>$Y$93</f>
        <v>0</v>
      </c>
      <c r="AC94" s="173"/>
      <c r="AD94" s="173"/>
      <c r="AE94" s="173"/>
      <c r="AF94" s="173"/>
      <c r="AG94" s="173"/>
      <c r="AH94" s="173"/>
    </row>
    <row r="95" spans="24:34" hidden="1" x14ac:dyDescent="0.25">
      <c r="X95" s="182" t="s">
        <v>318</v>
      </c>
      <c r="Y95" s="189">
        <f>Y88-Y89+Y90-Y91</f>
        <v>0</v>
      </c>
      <c r="Z95" s="182"/>
      <c r="AA95" s="173"/>
      <c r="AB95" s="173"/>
      <c r="AC95" s="173"/>
      <c r="AD95" s="173"/>
      <c r="AE95" s="173"/>
      <c r="AF95" s="173"/>
      <c r="AG95" s="173"/>
      <c r="AH95" s="173"/>
    </row>
    <row r="96" spans="24:34" hidden="1" x14ac:dyDescent="0.25">
      <c r="X96" s="182" t="s">
        <v>519</v>
      </c>
      <c r="Y96" s="177" t="e">
        <f>IF((Y92/Y93)*12&lt;0,"Loss",(Y92/Y93)*12)</f>
        <v>#DIV/0!</v>
      </c>
      <c r="Z96" s="173" t="e">
        <f>IF(Y96&lt;0,0,Y96)</f>
        <v>#DIV/0!</v>
      </c>
      <c r="AA96" s="173"/>
      <c r="AB96" s="173"/>
      <c r="AC96" s="173"/>
      <c r="AD96" s="173"/>
      <c r="AE96" s="173"/>
      <c r="AF96" s="173"/>
      <c r="AG96" s="173"/>
      <c r="AH96" s="173"/>
    </row>
    <row r="97" spans="24:34" hidden="1" x14ac:dyDescent="0.25">
      <c r="X97" s="182" t="s">
        <v>520</v>
      </c>
      <c r="Y97" s="177" t="e">
        <f>(Y92/Y94)*12</f>
        <v>#DIV/0!</v>
      </c>
      <c r="Z97" s="173" t="e">
        <f>IF(Y97&lt;0,0,Y97)</f>
        <v>#DIV/0!</v>
      </c>
      <c r="AA97" s="173"/>
      <c r="AB97" s="173"/>
      <c r="AC97" s="173"/>
      <c r="AD97" s="173"/>
      <c r="AE97" s="173"/>
      <c r="AF97" s="173"/>
      <c r="AG97" s="173"/>
      <c r="AH97" s="173"/>
    </row>
    <row r="98" spans="24:34" hidden="1" x14ac:dyDescent="0.25">
      <c r="X98" s="182" t="s">
        <v>521</v>
      </c>
      <c r="Y98" s="177" t="e">
        <f>IF((Y92/Y95)*12&lt;0,"Loss",(Y92/Y95)*12)</f>
        <v>#DIV/0!</v>
      </c>
      <c r="Z98" s="173" t="e">
        <f>IF(Y98&lt;0,0,Y98)</f>
        <v>#DIV/0!</v>
      </c>
      <c r="AA98" s="173"/>
      <c r="AB98" s="173"/>
      <c r="AC98" s="173"/>
      <c r="AD98" s="173"/>
      <c r="AE98" s="173"/>
      <c r="AF98" s="173"/>
      <c r="AG98" s="173"/>
      <c r="AH98" s="173"/>
    </row>
    <row r="99" spans="24:34" hidden="1" x14ac:dyDescent="0.25"/>
    <row r="100" spans="24:34" hidden="1" x14ac:dyDescent="0.25"/>
    <row r="101" spans="24:34" hidden="1" x14ac:dyDescent="0.25"/>
    <row r="102" spans="24:34" hidden="1" x14ac:dyDescent="0.25"/>
    <row r="103" spans="24:34" hidden="1" x14ac:dyDescent="0.25"/>
    <row r="104" spans="24:34" hidden="1" x14ac:dyDescent="0.25"/>
    <row r="105" spans="24:34" hidden="1" x14ac:dyDescent="0.25"/>
    <row r="106" spans="24:34" hidden="1" x14ac:dyDescent="0.25"/>
    <row r="107" spans="24:34" hidden="1" x14ac:dyDescent="0.25"/>
    <row r="108" spans="24:34" hidden="1" x14ac:dyDescent="0.25"/>
    <row r="109" spans="24:34" hidden="1" x14ac:dyDescent="0.25"/>
    <row r="110" spans="24:34" hidden="1" x14ac:dyDescent="0.25"/>
    <row r="111" spans="24:34" hidden="1" x14ac:dyDescent="0.25"/>
    <row r="112" spans="24:34" hidden="1" x14ac:dyDescent="0.25"/>
    <row r="113" spans="24:67" hidden="1" x14ac:dyDescent="0.25"/>
    <row r="114" spans="24:67" hidden="1" x14ac:dyDescent="0.25"/>
    <row r="115" spans="24:67" hidden="1" x14ac:dyDescent="0.25"/>
    <row r="116" spans="24:67" hidden="1" x14ac:dyDescent="0.25"/>
    <row r="117" spans="24:67" hidden="1" x14ac:dyDescent="0.25"/>
    <row r="118" spans="24:67" hidden="1" x14ac:dyDescent="0.25"/>
    <row r="119" spans="24:67" hidden="1" x14ac:dyDescent="0.25"/>
    <row r="120" spans="24:67" hidden="1" x14ac:dyDescent="0.25"/>
    <row r="121" spans="24:67" hidden="1" x14ac:dyDescent="0.25"/>
    <row r="122" spans="24:67" ht="90" hidden="1" x14ac:dyDescent="0.25">
      <c r="X122" s="190" t="s">
        <v>0</v>
      </c>
      <c r="Y122" s="190" t="s">
        <v>58</v>
      </c>
      <c r="Z122" s="190" t="s">
        <v>59</v>
      </c>
      <c r="AA122" s="190" t="s">
        <v>248</v>
      </c>
      <c r="AB122" s="190" t="s">
        <v>219</v>
      </c>
      <c r="AC122" s="190" t="s">
        <v>80</v>
      </c>
      <c r="AD122" s="191" t="s">
        <v>99</v>
      </c>
      <c r="AE122" s="192" t="s">
        <v>242</v>
      </c>
      <c r="AF122" s="192" t="s">
        <v>243</v>
      </c>
      <c r="AG122" s="192" t="s">
        <v>246</v>
      </c>
      <c r="AH122" s="192" t="s">
        <v>244</v>
      </c>
      <c r="AI122" s="192" t="s">
        <v>245</v>
      </c>
      <c r="AJ122" s="192" t="s">
        <v>247</v>
      </c>
      <c r="AK122" s="192" t="s">
        <v>252</v>
      </c>
      <c r="AL122" s="184" t="s">
        <v>48</v>
      </c>
      <c r="AM122" s="184" t="s">
        <v>49</v>
      </c>
      <c r="AN122" s="184" t="s">
        <v>91</v>
      </c>
      <c r="AO122" s="184" t="s">
        <v>92</v>
      </c>
      <c r="AP122" s="186" t="s">
        <v>52</v>
      </c>
      <c r="AQ122" s="186" t="s">
        <v>78</v>
      </c>
      <c r="AR122" s="186" t="s">
        <v>79</v>
      </c>
      <c r="AS122" s="186" t="s">
        <v>96</v>
      </c>
      <c r="AT122" s="186" t="s">
        <v>97</v>
      </c>
      <c r="AU122" s="186" t="s">
        <v>98</v>
      </c>
      <c r="AV122" s="184" t="s">
        <v>105</v>
      </c>
      <c r="AW122" s="184" t="s">
        <v>106</v>
      </c>
      <c r="AX122" s="184" t="s">
        <v>260</v>
      </c>
      <c r="AY122" s="184" t="s">
        <v>261</v>
      </c>
      <c r="AZ122" s="184" t="s">
        <v>269</v>
      </c>
      <c r="BA122" s="188" t="s">
        <v>109</v>
      </c>
      <c r="BB122" s="188" t="s">
        <v>110</v>
      </c>
      <c r="BC122" s="188" t="s">
        <v>212</v>
      </c>
      <c r="BD122" s="188" t="s">
        <v>111</v>
      </c>
      <c r="BE122" s="188" t="s">
        <v>112</v>
      </c>
      <c r="BF122" s="188" t="s">
        <v>113</v>
      </c>
      <c r="BG122" s="188" t="s">
        <v>114</v>
      </c>
      <c r="BH122" s="188" t="s">
        <v>115</v>
      </c>
      <c r="BI122" s="188" t="s">
        <v>284</v>
      </c>
      <c r="BJ122" s="188" t="s">
        <v>223</v>
      </c>
      <c r="BK122" s="188" t="s">
        <v>231</v>
      </c>
      <c r="BL122" s="188" t="s">
        <v>263</v>
      </c>
      <c r="BM122" s="188" t="s">
        <v>265</v>
      </c>
      <c r="BN122" s="188" t="s">
        <v>268</v>
      </c>
      <c r="BO122" s="188" t="s">
        <v>278</v>
      </c>
    </row>
    <row r="123" spans="24:67" hidden="1" x14ac:dyDescent="0.25">
      <c r="X123" s="193" t="s">
        <v>302</v>
      </c>
      <c r="Y123" s="193">
        <v>1</v>
      </c>
      <c r="Z123" s="193">
        <v>1</v>
      </c>
      <c r="AA123" s="193" t="s">
        <v>116</v>
      </c>
      <c r="AB123" s="193">
        <v>2</v>
      </c>
      <c r="AC123" s="193">
        <v>250</v>
      </c>
      <c r="AD123" s="194"/>
      <c r="AE123" s="194"/>
      <c r="AF123" s="194"/>
      <c r="AG123" s="194"/>
      <c r="AH123" s="194"/>
      <c r="AI123" s="194"/>
      <c r="AJ123" s="194"/>
      <c r="AK123" s="194"/>
      <c r="AL123" s="173">
        <f>BG123*Y123*AB123*AC123</f>
        <v>8059.3749999999991</v>
      </c>
      <c r="AM123" s="172">
        <f t="shared" ref="AM123:AM135" si="2">(Y123*AB123*AC123)*(BH123*120/1000)</f>
        <v>210.66666666666666</v>
      </c>
      <c r="AN123" s="172">
        <f>BG123*Z123*AB123*AC123</f>
        <v>8059.3749999999991</v>
      </c>
      <c r="AO123" s="172">
        <f>(Z123*AB123*AC123)*(BH123*120/1000)</f>
        <v>210.66666666666666</v>
      </c>
      <c r="AP123" s="182">
        <f>BA123</f>
        <v>322.94117647058823</v>
      </c>
      <c r="AQ123" s="182">
        <f>BB123</f>
        <v>76.25</v>
      </c>
      <c r="AR123" s="182">
        <f>BI123</f>
        <v>390</v>
      </c>
      <c r="AS123" s="182">
        <f>IF(COUNTA(X123)&gt;0,(BA123/BD123)*Z123,0)</f>
        <v>119.60784313725489</v>
      </c>
      <c r="AT123" s="182">
        <f t="shared" ref="AT123:AT135" si="3">IF(COUNTA(X123)&gt;0,(BB123/BE123)*Z123,0)</f>
        <v>29.326923076923077</v>
      </c>
      <c r="AU123" s="182">
        <f>IF(COUNTA(X123)&gt;0,(BI123/BF123)*Z123,0)</f>
        <v>156</v>
      </c>
      <c r="AV123" s="182">
        <f>BB123*Z123</f>
        <v>76.25</v>
      </c>
      <c r="AW123" s="182">
        <f t="shared" ref="AW123:AW135" si="4">BC123*Z123</f>
        <v>390</v>
      </c>
      <c r="AX123" s="182">
        <f>IF(BJ123=-1,0,IF(BJ123=0,AU123,IF(BJ123=1,AT123,IF(BJ123=2,AU123,0))))</f>
        <v>156</v>
      </c>
      <c r="AY123" s="182">
        <f>IF(BJ123=-1,0,IF(BJ123=0,AW123,IF(BJ123=1,AV123,IF(BJ123=2,AW123,0))))</f>
        <v>390</v>
      </c>
      <c r="AZ123" s="182">
        <f t="shared" ref="AZ123:AZ135" si="5">BN123*Z123</f>
        <v>196.31936999999999</v>
      </c>
      <c r="BA123" s="195">
        <f>IF(COUNTA(X123)&gt;0,IF(COUNTA(AF123)&gt;0,AF123,VLOOKUP(X123,Consumption!$A$4:$R$69,14,FALSE)),0)</f>
        <v>322.94117647058823</v>
      </c>
      <c r="BB123" s="180">
        <f>IF(COUNTA(X123)&gt;0,IF(COUNTA(AI123)&gt;0,AI123,VLOOKUP(X123,Consumption!$A$4:$R$69,16,FALSE)),0)</f>
        <v>76.25</v>
      </c>
      <c r="BC123" s="180">
        <f>IF(COUNTA(X123)&gt;0,IF(COUNTA(AK123),AK123,VLOOKUP(X123,Consumption!$A$4:$R$69,17,FALSE)),0)</f>
        <v>390</v>
      </c>
      <c r="BD123" s="177">
        <f>IF(COUNTA(X123)=0,0,IF(COUNTA(AD123)=0,'System Info'!$D$20,AD123))</f>
        <v>2.7</v>
      </c>
      <c r="BE123" s="177">
        <f>IF(COUNTA(X123)=0,0,IF(COUNTA(AG123)=0,'System Info'!$D$19,AG123))</f>
        <v>2.6</v>
      </c>
      <c r="BF123" s="177">
        <f>IF(COUNTA(X123)=0,0,IF(COUNTA(AJ123)=0,'System Info'!$D$21,AJ123))</f>
        <v>2.5</v>
      </c>
      <c r="BG123" s="177">
        <f>IF(COUNTA(X123)=0,0,IF(COUNTA(AE123)=0,VLOOKUP(X123,Consumption!$A$4:$M$69,5,FALSE),AE123))</f>
        <v>16.118749999999999</v>
      </c>
      <c r="BH123" s="177">
        <f>IF(COUNTA(X123)=0,0,IF(COUNTA(AH123)=0,VLOOKUP(X123,Consumption!$A$4:$M$69,8,FALSE),AH123))</f>
        <v>3.5111111111111111</v>
      </c>
      <c r="BI123" s="173">
        <f>IF(COUNTA(X123)&gt;0,IF(COUNTA(AK123),AK123,VLOOKUP(X123,Consumption!$A$4:$R$69,17,FALSE)),0)</f>
        <v>390</v>
      </c>
      <c r="BJ123" s="173">
        <f>IF(COUNTA(X123)=0,-1,IF(AA123="Unsure",0,IF(AA123="Corded",1,2)))</f>
        <v>2</v>
      </c>
      <c r="BK123" s="173">
        <f>IF(COUNTA(X123)=0,0,IF(Z123=0,0,VLOOKUP(X123,Consumption!$A$4:$AR$69,17,FALSE)-VLOOKUP(X123,Consumption!$A$4:$AR$69,18,FALSE)))</f>
        <v>290.55</v>
      </c>
      <c r="BL123" s="173">
        <f>IF(BJ123=-1,0,IF(BJ123=0,'System Info'!$D$18*Z123,IF(BJ123=1,'System Info'!$D$17*Z123,IF(BJ123=2,'System Info'!$D$18*Z123,0))))</f>
        <v>0</v>
      </c>
      <c r="BM123" s="173">
        <f>IF(BJ123=-1,0,IF(BJ123=0,((BH123*120*BO123)/(67.5*500))*Z123*'System Info'!$D$13,IF(BJ123=1,0,IF(BJ123=2,((BH123*120*BO123)/(67.5*500))*Z123*'System Info'!$D$13,0))))</f>
        <v>530.5679012345679</v>
      </c>
      <c r="BN123" s="173">
        <f>IF(BJ123=-1,0,IF(BJ123=0,BC123-(BK123*0.6666),IF(BJ123=1,BB123,IF(BJ123=2,(BC123-(BK123*0.6666)),0))))</f>
        <v>196.31936999999999</v>
      </c>
      <c r="BO123" s="173">
        <f t="shared" ref="BO123:BO135" si="6">IF(COUNTA(X123)=0,0,AB123*AC123)</f>
        <v>500</v>
      </c>
    </row>
    <row r="124" spans="24:67" hidden="1" x14ac:dyDescent="0.25">
      <c r="X124" s="193" t="s">
        <v>36</v>
      </c>
      <c r="Y124" s="193">
        <v>0</v>
      </c>
      <c r="Z124" s="193">
        <v>0</v>
      </c>
      <c r="AA124" s="193" t="s">
        <v>116</v>
      </c>
      <c r="AB124" s="193">
        <v>1</v>
      </c>
      <c r="AC124" s="193">
        <v>250</v>
      </c>
      <c r="AD124" s="194"/>
      <c r="AE124" s="194"/>
      <c r="AF124" s="194"/>
      <c r="AG124" s="194"/>
      <c r="AH124" s="194"/>
      <c r="AI124" s="194"/>
      <c r="AJ124" s="194"/>
      <c r="AK124" s="194"/>
      <c r="AL124" s="173">
        <f t="shared" ref="AL124:AL135" si="7">BG124*Y124*AB124*AC124</f>
        <v>0</v>
      </c>
      <c r="AM124" s="172">
        <f t="shared" si="2"/>
        <v>0</v>
      </c>
      <c r="AN124" s="172">
        <f t="shared" ref="AN124:AN135" si="8">BG124*Z124*AB124*AC124</f>
        <v>0</v>
      </c>
      <c r="AO124" s="172">
        <f t="shared" ref="AO124:AO135" si="9">(Z124*AB124*AC124)*(BH124*120/1000)</f>
        <v>0</v>
      </c>
      <c r="AP124" s="182">
        <f t="shared" ref="AP124:AP135" si="10">BA124</f>
        <v>284.58333333333331</v>
      </c>
      <c r="AQ124" s="182">
        <f t="shared" ref="AQ124:AQ135" si="11">BB124</f>
        <v>189.88684210526316</v>
      </c>
      <c r="AR124" s="182">
        <f t="shared" ref="AR124:AR135" si="12">BI124</f>
        <v>409.84591549295777</v>
      </c>
      <c r="AS124" s="182">
        <f t="shared" ref="AS124:AS135" si="13">IF(COUNTA(X124)&gt;0,(BA124/BD124)*Z124,0)</f>
        <v>0</v>
      </c>
      <c r="AT124" s="182">
        <f t="shared" si="3"/>
        <v>0</v>
      </c>
      <c r="AU124" s="182">
        <f t="shared" ref="AU124:AU135" si="14">IF(COUNTA(X124)&gt;0,(BI124/BF124)*Z124,0)</f>
        <v>0</v>
      </c>
      <c r="AV124" s="182">
        <f t="shared" ref="AV124:AV135" si="15">BB124*Z124</f>
        <v>0</v>
      </c>
      <c r="AW124" s="182">
        <f t="shared" si="4"/>
        <v>0</v>
      </c>
      <c r="AX124" s="182">
        <f>IF(BJ124=-1,0,IF(BJ124=0,AU124,IF(BJ124=1,AT124,IF(BJ124=2,AU124,0))))</f>
        <v>0</v>
      </c>
      <c r="AY124" s="182">
        <f t="shared" ref="AY124:AY135" si="16">IF(BJ124=-1,0,IF(BJ124=0,AW124,IF(BJ124=1,AV124,IF(BJ124=2,AW124,0))))</f>
        <v>0</v>
      </c>
      <c r="AZ124" s="182">
        <f t="shared" si="5"/>
        <v>0</v>
      </c>
      <c r="BA124" s="195">
        <f>IF(COUNTA(X124)&gt;0,IF(COUNTA(AF124)&gt;0,AF124,VLOOKUP(X124,Consumption!$A$4:$R$69,14,FALSE)),0)</f>
        <v>284.58333333333331</v>
      </c>
      <c r="BB124" s="180">
        <f>IF(COUNTA(X124)&gt;0,IF(COUNTA(AI124)&gt;0,AI124,VLOOKUP(X124,Consumption!$A$4:$R$69,16,FALSE)),0)</f>
        <v>189.88684210526316</v>
      </c>
      <c r="BC124" s="180">
        <f>IF(COUNTA(X124)&gt;0,IF(COUNTA(AK124),AK124,VLOOKUP(X124,Consumption!$A$4:$R$69,17,FALSE)),0)</f>
        <v>409.84591549295777</v>
      </c>
      <c r="BD124" s="177">
        <f>IF(COUNTA(X124)=0,0,IF(COUNTA(AD124)=0,'System Info'!$D$20,AD124))</f>
        <v>2.7</v>
      </c>
      <c r="BE124" s="177">
        <f>IF(COUNTA(X124)=0,0,IF(COUNTA(AG124)=0,'System Info'!$D$19,AG124))</f>
        <v>2.6</v>
      </c>
      <c r="BF124" s="177">
        <f>IF(COUNTA(X124)=0,0,IF(COUNTA(AJ124)=0,'System Info'!$D$21,AJ124))</f>
        <v>2.5</v>
      </c>
      <c r="BG124" s="177">
        <f>IF(COUNTA(X124)=0,0,IF(COUNTA(AE124)=0,VLOOKUP(X124,Consumption!$A$4:$M$69,5,FALSE),AE124))</f>
        <v>22.2</v>
      </c>
      <c r="BH124" s="177">
        <f>IF(COUNTA(X124)=0,0,IF(COUNTA(AH124)=0,VLOOKUP(X124,Consumption!$A$4:$M$69,8,FALSE),AH124))</f>
        <v>8.1583333333333332</v>
      </c>
      <c r="BI124" s="173">
        <f>IF(COUNTA(X124)&gt;0,IF(COUNTA(AK124),AK124,VLOOKUP(X124,Consumption!$A$4:$R$69,17,FALSE)),0)</f>
        <v>409.84591549295777</v>
      </c>
      <c r="BJ124" s="173">
        <f t="shared" ref="BJ124:BJ135" si="17">IF(COUNTA(X124)=0,-1,IF(AA124="Unsure",0,IF(AA124="Corded",1,2)))</f>
        <v>2</v>
      </c>
      <c r="BK124" s="173">
        <f>IF(COUNTA(X124)=0,0,IF(Z124=0,0,VLOOKUP(X124,Consumption!$A$4:$AR$69,17,FALSE)-VLOOKUP(X124,Consumption!$A$4:$AR$69,18,FALSE)))</f>
        <v>0</v>
      </c>
      <c r="BL124" s="173">
        <f>IF(BJ124=-1,0,IF(BJ124=0,'System Info'!$D$18*Z124,IF(BJ124=1,'System Info'!$D$17*Z124,IF(BJ124=2,'System Info'!$D$18*Z124,0))))</f>
        <v>0</v>
      </c>
      <c r="BM124" s="173">
        <f>IF(BJ124=-1,0,IF(BJ124=0,((BH124*120*BO124)/(67.5*500))*Z124*'System Info'!$D$13,IF(BJ124=1,0,IF(BJ124=2,((BH124*120*BO124)/(67.5*500))*Z124*'System Info'!$D$13,0))))</f>
        <v>0</v>
      </c>
      <c r="BN124" s="173">
        <f>IF(BJ124=-1,0,IF(BJ124=0,BC124-(BK124*0.6666),IF(BJ124=1,BB124,IF(BJ124=2,(BC124-(BK124*0.6666)),0))))</f>
        <v>409.84591549295777</v>
      </c>
      <c r="BO124" s="173">
        <f t="shared" si="6"/>
        <v>250</v>
      </c>
    </row>
    <row r="125" spans="24:67" hidden="1" x14ac:dyDescent="0.25">
      <c r="X125" s="193" t="s">
        <v>29</v>
      </c>
      <c r="Y125" s="193">
        <v>0</v>
      </c>
      <c r="Z125" s="193">
        <v>0</v>
      </c>
      <c r="AA125" s="193" t="s">
        <v>249</v>
      </c>
      <c r="AB125" s="193">
        <v>1</v>
      </c>
      <c r="AC125" s="193">
        <v>250</v>
      </c>
      <c r="AD125" s="194"/>
      <c r="AE125" s="194"/>
      <c r="AF125" s="194"/>
      <c r="AG125" s="194"/>
      <c r="AH125" s="194"/>
      <c r="AI125" s="194"/>
      <c r="AJ125" s="194"/>
      <c r="AK125" s="194"/>
      <c r="AL125" s="173">
        <f t="shared" si="7"/>
        <v>0</v>
      </c>
      <c r="AM125" s="172">
        <f t="shared" si="2"/>
        <v>0</v>
      </c>
      <c r="AN125" s="172">
        <f t="shared" si="8"/>
        <v>0</v>
      </c>
      <c r="AO125" s="172">
        <f t="shared" si="9"/>
        <v>0</v>
      </c>
      <c r="AP125" s="182">
        <f t="shared" si="10"/>
        <v>360.69346153846152</v>
      </c>
      <c r="AQ125" s="182">
        <f t="shared" si="11"/>
        <v>262.16363636363639</v>
      </c>
      <c r="AR125" s="182">
        <f t="shared" si="12"/>
        <v>562.75660377358486</v>
      </c>
      <c r="AS125" s="182">
        <f t="shared" si="13"/>
        <v>0</v>
      </c>
      <c r="AT125" s="182">
        <f t="shared" si="3"/>
        <v>0</v>
      </c>
      <c r="AU125" s="182">
        <f t="shared" si="14"/>
        <v>0</v>
      </c>
      <c r="AV125" s="182">
        <f t="shared" si="15"/>
        <v>0</v>
      </c>
      <c r="AW125" s="182">
        <f t="shared" si="4"/>
        <v>0</v>
      </c>
      <c r="AX125" s="182">
        <f>IF(BJ125=-1,0,IF(BJ125=0,AU125,IF(BJ125=1,AT125,IF(BJ125=2,AU125,0))))</f>
        <v>0</v>
      </c>
      <c r="AY125" s="182">
        <f t="shared" si="16"/>
        <v>0</v>
      </c>
      <c r="AZ125" s="182">
        <f t="shared" si="5"/>
        <v>0</v>
      </c>
      <c r="BA125" s="195">
        <f>IF(COUNTA(X125)&gt;0,IF(COUNTA(AF125)&gt;0,AF125,VLOOKUP(X125,Consumption!$A$4:$R$69,14,FALSE)),0)</f>
        <v>360.69346153846152</v>
      </c>
      <c r="BB125" s="180">
        <f>IF(COUNTA(X125)&gt;0,IF(COUNTA(AI125)&gt;0,AI125,VLOOKUP(X125,Consumption!$A$4:$R$69,16,FALSE)),0)</f>
        <v>262.16363636363639</v>
      </c>
      <c r="BC125" s="180">
        <f>IF(COUNTA(X125)&gt;0,IF(COUNTA(AK125),AK125,VLOOKUP(X125,Consumption!$A$4:$R$69,17,FALSE)),0)</f>
        <v>562.75660377358486</v>
      </c>
      <c r="BD125" s="177">
        <f>IF(COUNTA(X125)=0,0,IF(COUNTA(AD125)=0,'System Info'!$D$20,AD125))</f>
        <v>2.7</v>
      </c>
      <c r="BE125" s="177">
        <f>IF(COUNTA(X125)=0,0,IF(COUNTA(AG125)=0,'System Info'!$D$19,AG125))</f>
        <v>2.6</v>
      </c>
      <c r="BF125" s="177">
        <f>IF(COUNTA(X125)=0,0,IF(COUNTA(AJ125)=0,'System Info'!$D$21,AJ125))</f>
        <v>2.5</v>
      </c>
      <c r="BG125" s="177">
        <f>IF(COUNTA(X125)=0,0,IF(COUNTA(AE125)=0,VLOOKUP(X125,Consumption!$A$4:$M$69,5,FALSE),AE125))</f>
        <v>21.07741935483871</v>
      </c>
      <c r="BH125" s="177">
        <f>IF(COUNTA(X125)=0,0,IF(COUNTA(AH125)=0,VLOOKUP(X125,Consumption!$A$4:$M$69,8,FALSE),AH125))</f>
        <v>6.833333333333333</v>
      </c>
      <c r="BI125" s="173">
        <f>IF(COUNTA(X125)&gt;0,IF(COUNTA(AK125),AK125,VLOOKUP(X125,Consumption!$A$4:$R$69,17,FALSE)),0)</f>
        <v>562.75660377358486</v>
      </c>
      <c r="BJ125" s="173">
        <f t="shared" si="17"/>
        <v>1</v>
      </c>
      <c r="BK125" s="173">
        <f>IF(COUNTA(X125)=0,0,IF(Z125=0,0,VLOOKUP(X125,Consumption!$A$4:$AR$69,17,FALSE)-VLOOKUP(X125,Consumption!$A$4:$AR$69,18,FALSE)))</f>
        <v>0</v>
      </c>
      <c r="BL125" s="173">
        <f>IF(BJ125=-1,0,IF(BJ125=0,'System Info'!$D$18*Z125,IF(BJ125=1,'System Info'!$D$17*Z125,IF(BJ125=2,'System Info'!$D$18*Z125,0))))</f>
        <v>0</v>
      </c>
      <c r="BM125" s="173">
        <f>IF(BJ125=-1,0,IF(BJ125=0,((BH125*120*BO125)/(67.5*500))*Z125*'System Info'!$D$13,IF(BJ125=1,0,IF(BJ125=2,((BH125*120*BO125)/(67.5*500))*Z125*'System Info'!$D$13,0))))</f>
        <v>0</v>
      </c>
      <c r="BN125" s="173">
        <f t="shared" ref="BN125:BN135" si="18">IF(BJ125=-1,0,IF(BJ125=0,BC125-(BK125*0.6666),IF(BJ125=1,BB125,IF(BJ125=2,(BC125-(BK125*0.6666)),0))))</f>
        <v>262.16363636363639</v>
      </c>
      <c r="BO125" s="173">
        <f t="shared" si="6"/>
        <v>250</v>
      </c>
    </row>
    <row r="126" spans="24:67" hidden="1" x14ac:dyDescent="0.25">
      <c r="X126" s="193"/>
      <c r="Y126" s="193">
        <v>0</v>
      </c>
      <c r="Z126" s="193">
        <v>0</v>
      </c>
      <c r="AA126" s="193"/>
      <c r="AB126" s="193">
        <v>0</v>
      </c>
      <c r="AC126" s="193">
        <v>0</v>
      </c>
      <c r="AD126" s="194"/>
      <c r="AE126" s="194"/>
      <c r="AF126" s="194"/>
      <c r="AG126" s="194"/>
      <c r="AH126" s="194"/>
      <c r="AI126" s="194"/>
      <c r="AJ126" s="194"/>
      <c r="AK126" s="194"/>
      <c r="AL126" s="173">
        <f>BG126*Y126*AB126*AC126</f>
        <v>0</v>
      </c>
      <c r="AM126" s="172">
        <f t="shared" si="2"/>
        <v>0</v>
      </c>
      <c r="AN126" s="172">
        <f t="shared" si="8"/>
        <v>0</v>
      </c>
      <c r="AO126" s="172">
        <f t="shared" si="9"/>
        <v>0</v>
      </c>
      <c r="AP126" s="182">
        <f t="shared" si="10"/>
        <v>0</v>
      </c>
      <c r="AQ126" s="182">
        <f t="shared" si="11"/>
        <v>0</v>
      </c>
      <c r="AR126" s="182">
        <f t="shared" si="12"/>
        <v>0</v>
      </c>
      <c r="AS126" s="182">
        <f t="shared" si="13"/>
        <v>0</v>
      </c>
      <c r="AT126" s="182">
        <f t="shared" si="3"/>
        <v>0</v>
      </c>
      <c r="AU126" s="182">
        <f t="shared" si="14"/>
        <v>0</v>
      </c>
      <c r="AV126" s="182">
        <f t="shared" si="15"/>
        <v>0</v>
      </c>
      <c r="AW126" s="182">
        <f t="shared" si="4"/>
        <v>0</v>
      </c>
      <c r="AX126" s="182">
        <f t="shared" ref="AX126:AX135" si="19">IF(BJ126=-1,0,IF(BJ126=0,AU126,IF(BJ126=1,AT126,IF(BJ126=2,AU126,0))))</f>
        <v>0</v>
      </c>
      <c r="AY126" s="182">
        <f t="shared" si="16"/>
        <v>0</v>
      </c>
      <c r="AZ126" s="182">
        <f t="shared" si="5"/>
        <v>0</v>
      </c>
      <c r="BA126" s="195">
        <f>IF(COUNTA(X126)&gt;0,IF(COUNTA(AF126)&gt;0,AF126,VLOOKUP(X126,Consumption!$A$4:$R$69,14,FALSE)),0)</f>
        <v>0</v>
      </c>
      <c r="BB126" s="180">
        <f>IF(COUNTA(X126)&gt;0,IF(COUNTA(AI126)&gt;0,AI126,VLOOKUP(X126,Consumption!$A$4:$R$69,16,FALSE)),0)</f>
        <v>0</v>
      </c>
      <c r="BC126" s="180">
        <f>IF(COUNTA(X126)&gt;0,IF(COUNTA(AK126),AK126,VLOOKUP(X126,Consumption!$A$4:$R$69,17,FALSE)),0)</f>
        <v>0</v>
      </c>
      <c r="BD126" s="177">
        <f>IF(COUNTA(X126)=0,0,IF(COUNTA(AD126)=0,'System Info'!$D$20,AD126))</f>
        <v>0</v>
      </c>
      <c r="BE126" s="177">
        <f>IF(COUNTA(X126)=0,0,IF(COUNTA(AG126)=0,'System Info'!$D$19,AG126))</f>
        <v>0</v>
      </c>
      <c r="BF126" s="177">
        <f>IF(COUNTA(X126)=0,0,IF(COUNTA(AJ126)=0,'System Info'!$D$21,AJ126))</f>
        <v>0</v>
      </c>
      <c r="BG126" s="177">
        <f>IF(COUNTA(X126)=0,0,IF(COUNTA(AE126)=0,VLOOKUP(X126,Consumption!$A$4:$M$69,5,FALSE),AE126))</f>
        <v>0</v>
      </c>
      <c r="BH126" s="177">
        <f>IF(COUNTA(X126)=0,0,IF(COUNTA(AH126)=0,VLOOKUP(X126,Consumption!$A$4:$M$69,8,FALSE),AH126))</f>
        <v>0</v>
      </c>
      <c r="BI126" s="173">
        <f>IF(COUNTA(X126)&gt;0,IF(COUNTA(AK126),AK126,VLOOKUP(X126,Consumption!$A$4:$R$69,17,FALSE)),0)</f>
        <v>0</v>
      </c>
      <c r="BJ126" s="173">
        <f t="shared" si="17"/>
        <v>-1</v>
      </c>
      <c r="BK126" s="173">
        <f>IF(COUNTA(X126)=0,0,IF(Z126=0,0,VLOOKUP(X126,Consumption!$A$4:$AR$69,17,FALSE)-VLOOKUP(X126,Consumption!$A$4:$AR$69,18,FALSE)))</f>
        <v>0</v>
      </c>
      <c r="BL126" s="173">
        <f>IF(BJ126=-1,0,IF(BJ126=0,'System Info'!$D$18*Z126,IF(BJ126=1,'System Info'!$D$17*Z126,IF(BJ126=2,'System Info'!$D$18*Z126,0))))</f>
        <v>0</v>
      </c>
      <c r="BM126" s="173">
        <f>IF(BJ126=-1,0,IF(BJ126=0,((BH126*120*BO126)/(67.5*500))*Z126*'System Info'!$D$13,IF(BJ126=1,0,IF(BJ126=2,((BH126*120*BO126)/(67.5*500))*Z126*'System Info'!$D$13,0))))</f>
        <v>0</v>
      </c>
      <c r="BN126" s="173">
        <f t="shared" si="18"/>
        <v>0</v>
      </c>
      <c r="BO126" s="173">
        <f t="shared" si="6"/>
        <v>0</v>
      </c>
    </row>
    <row r="127" spans="24:67" hidden="1" x14ac:dyDescent="0.25">
      <c r="X127" s="193"/>
      <c r="Y127" s="193"/>
      <c r="Z127" s="193"/>
      <c r="AA127" s="193"/>
      <c r="AB127" s="193"/>
      <c r="AC127" s="193"/>
      <c r="AD127" s="194"/>
      <c r="AE127" s="194"/>
      <c r="AF127" s="194"/>
      <c r="AG127" s="194"/>
      <c r="AH127" s="194"/>
      <c r="AI127" s="194"/>
      <c r="AJ127" s="194"/>
      <c r="AK127" s="194"/>
      <c r="AL127" s="173">
        <f t="shared" si="7"/>
        <v>0</v>
      </c>
      <c r="AM127" s="172">
        <f t="shared" si="2"/>
        <v>0</v>
      </c>
      <c r="AN127" s="172">
        <f t="shared" si="8"/>
        <v>0</v>
      </c>
      <c r="AO127" s="172">
        <f t="shared" si="9"/>
        <v>0</v>
      </c>
      <c r="AP127" s="182">
        <f t="shared" si="10"/>
        <v>0</v>
      </c>
      <c r="AQ127" s="182">
        <f t="shared" si="11"/>
        <v>0</v>
      </c>
      <c r="AR127" s="182">
        <f t="shared" si="12"/>
        <v>0</v>
      </c>
      <c r="AS127" s="182">
        <f t="shared" si="13"/>
        <v>0</v>
      </c>
      <c r="AT127" s="182">
        <f t="shared" si="3"/>
        <v>0</v>
      </c>
      <c r="AU127" s="182">
        <f t="shared" si="14"/>
        <v>0</v>
      </c>
      <c r="AV127" s="182">
        <f t="shared" si="15"/>
        <v>0</v>
      </c>
      <c r="AW127" s="182">
        <f t="shared" si="4"/>
        <v>0</v>
      </c>
      <c r="AX127" s="182">
        <f t="shared" si="19"/>
        <v>0</v>
      </c>
      <c r="AY127" s="182">
        <f t="shared" si="16"/>
        <v>0</v>
      </c>
      <c r="AZ127" s="182">
        <f t="shared" si="5"/>
        <v>0</v>
      </c>
      <c r="BA127" s="195">
        <f>IF(COUNTA(X127)&gt;0,IF(COUNTA(AF127)&gt;0,AF127,VLOOKUP(X127,Consumption!$A$4:$R$69,14,FALSE)),0)</f>
        <v>0</v>
      </c>
      <c r="BB127" s="180">
        <f>IF(COUNTA(X127)&gt;0,IF(COUNTA(AI127)&gt;0,AI127,VLOOKUP(X127,Consumption!$A$4:$R$69,16,FALSE)),0)</f>
        <v>0</v>
      </c>
      <c r="BC127" s="180">
        <f>IF(COUNTA(X127)&gt;0,IF(COUNTA(AK127),AK127,VLOOKUP(X127,Consumption!$A$4:$R$69,17,FALSE)),0)</f>
        <v>0</v>
      </c>
      <c r="BD127" s="177">
        <f>IF(COUNTA(X127)=0,0,IF(COUNTA(AD127)=0,'System Info'!$D$20,AD127))</f>
        <v>0</v>
      </c>
      <c r="BE127" s="177">
        <f>IF(COUNTA(X127)=0,0,IF(COUNTA(AG127)=0,'System Info'!$D$19,AG127))</f>
        <v>0</v>
      </c>
      <c r="BF127" s="177">
        <f>IF(COUNTA(X127)=0,0,IF(COUNTA(AJ127)=0,'System Info'!$D$21,AJ127))</f>
        <v>0</v>
      </c>
      <c r="BG127" s="177">
        <f>IF(COUNTA(X127)=0,0,IF(COUNTA(AE127)=0,VLOOKUP(X127,Consumption!$A$4:$M$69,5,FALSE),AE127))</f>
        <v>0</v>
      </c>
      <c r="BH127" s="177">
        <f>IF(COUNTA(X127)=0,0,IF(COUNTA(AH127)=0,VLOOKUP(X127,Consumption!$A$4:$M$69,8,FALSE),AH127))</f>
        <v>0</v>
      </c>
      <c r="BI127" s="173">
        <f>IF(COUNTA(X127)&gt;0,IF(COUNTA(AK127),AK127,VLOOKUP(X127,Consumption!$A$4:$R$69,17,FALSE)),0)</f>
        <v>0</v>
      </c>
      <c r="BJ127" s="173">
        <f t="shared" si="17"/>
        <v>-1</v>
      </c>
      <c r="BK127" s="173">
        <f>IF(COUNTA(X127)=0,0,IF(Z127=0,0,VLOOKUP(X127,Consumption!$A$4:$AR$69,17,FALSE)-VLOOKUP(X127,Consumption!$A$4:$AR$69,18,FALSE)))</f>
        <v>0</v>
      </c>
      <c r="BL127" s="173">
        <f>IF(BJ127=-1,0,IF(BJ127=0,'System Info'!$D$18*Z127,IF(BJ127=1,'System Info'!$D$17*Z127,IF(BJ127=2,'System Info'!$D$18*Z127,0))))</f>
        <v>0</v>
      </c>
      <c r="BM127" s="173">
        <f>IF(BJ127=-1,0,IF(BJ127=0,((BH127*120*BO127)/(67.5*500))*Z127*'System Info'!$D$13,IF(BJ127=1,0,IF(BJ127=2,((BH127*120*BO127)/(67.5*500))*Z127*'System Info'!$D$13,0))))</f>
        <v>0</v>
      </c>
      <c r="BN127" s="173">
        <f t="shared" si="18"/>
        <v>0</v>
      </c>
      <c r="BO127" s="173">
        <f t="shared" si="6"/>
        <v>0</v>
      </c>
    </row>
    <row r="128" spans="24:67" hidden="1" x14ac:dyDescent="0.25">
      <c r="X128" s="193"/>
      <c r="Y128" s="193"/>
      <c r="Z128" s="193"/>
      <c r="AA128" s="193"/>
      <c r="AB128" s="193"/>
      <c r="AC128" s="193"/>
      <c r="AD128" s="194"/>
      <c r="AE128" s="194"/>
      <c r="AF128" s="194"/>
      <c r="AG128" s="194"/>
      <c r="AH128" s="194"/>
      <c r="AI128" s="194"/>
      <c r="AJ128" s="194"/>
      <c r="AK128" s="194"/>
      <c r="AL128" s="173">
        <f t="shared" si="7"/>
        <v>0</v>
      </c>
      <c r="AM128" s="172">
        <f t="shared" si="2"/>
        <v>0</v>
      </c>
      <c r="AN128" s="172">
        <f t="shared" si="8"/>
        <v>0</v>
      </c>
      <c r="AO128" s="172">
        <f t="shared" si="9"/>
        <v>0</v>
      </c>
      <c r="AP128" s="182">
        <f t="shared" si="10"/>
        <v>0</v>
      </c>
      <c r="AQ128" s="182">
        <f t="shared" si="11"/>
        <v>0</v>
      </c>
      <c r="AR128" s="182">
        <f t="shared" si="12"/>
        <v>0</v>
      </c>
      <c r="AS128" s="182">
        <f t="shared" si="13"/>
        <v>0</v>
      </c>
      <c r="AT128" s="182">
        <f t="shared" si="3"/>
        <v>0</v>
      </c>
      <c r="AU128" s="182">
        <f t="shared" si="14"/>
        <v>0</v>
      </c>
      <c r="AV128" s="182">
        <f t="shared" si="15"/>
        <v>0</v>
      </c>
      <c r="AW128" s="182">
        <f t="shared" si="4"/>
        <v>0</v>
      </c>
      <c r="AX128" s="182">
        <f t="shared" si="19"/>
        <v>0</v>
      </c>
      <c r="AY128" s="182">
        <f t="shared" si="16"/>
        <v>0</v>
      </c>
      <c r="AZ128" s="182">
        <f t="shared" si="5"/>
        <v>0</v>
      </c>
      <c r="BA128" s="195">
        <f>IF(COUNTA(X128)&gt;0,IF(COUNTA(AF128)&gt;0,AF128,VLOOKUP(X128,Consumption!$A$4:$R$69,14,FALSE)),0)</f>
        <v>0</v>
      </c>
      <c r="BB128" s="180">
        <f>IF(COUNTA(X128)&gt;0,IF(COUNTA(AI128)&gt;0,AI128,VLOOKUP(X128,Consumption!$A$4:$R$69,16,FALSE)),0)</f>
        <v>0</v>
      </c>
      <c r="BC128" s="180">
        <f>IF(COUNTA(X128)&gt;0,IF(COUNTA(AK128),AK128,VLOOKUP(X128,Consumption!$A$4:$R$69,17,FALSE)),0)</f>
        <v>0</v>
      </c>
      <c r="BD128" s="177">
        <f>IF(COUNTA(X128)=0,0,IF(COUNTA(AD128)=0,'System Info'!$D$20,AD128))</f>
        <v>0</v>
      </c>
      <c r="BE128" s="177">
        <f>IF(COUNTA(X128)=0,0,IF(COUNTA(AG128)=0,'System Info'!$D$19,AG128))</f>
        <v>0</v>
      </c>
      <c r="BF128" s="177">
        <f>IF(COUNTA(X128)=0,0,IF(COUNTA(AJ128)=0,'System Info'!$D$21,AJ128))</f>
        <v>0</v>
      </c>
      <c r="BG128" s="177">
        <f>IF(COUNTA(X128)=0,0,IF(COUNTA(AE128)=0,VLOOKUP(X128,Consumption!$A$4:$M$69,5,FALSE),AE128))</f>
        <v>0</v>
      </c>
      <c r="BH128" s="177">
        <f>IF(COUNTA(X128)=0,0,IF(COUNTA(AH128)=0,VLOOKUP(X128,Consumption!$A$4:$M$69,8,FALSE),AH128))</f>
        <v>0</v>
      </c>
      <c r="BI128" s="173">
        <f>IF(COUNTA(X128)&gt;0,IF(COUNTA(AK128),AK128,VLOOKUP(X128,Consumption!$A$4:$R$69,17,FALSE)),0)</f>
        <v>0</v>
      </c>
      <c r="BJ128" s="173">
        <f t="shared" si="17"/>
        <v>-1</v>
      </c>
      <c r="BK128" s="173">
        <f>IF(COUNTA(X128)=0,0,IF(Z128=0,0,VLOOKUP(X128,Consumption!$A$4:$AR$69,17,FALSE)-VLOOKUP(X128,Consumption!$A$4:$AR$69,18,FALSE)))</f>
        <v>0</v>
      </c>
      <c r="BL128" s="173">
        <f>IF(BJ128=-1,0,IF(BJ128=0,'System Info'!$D$18*Z128,IF(BJ128=1,'System Info'!$D$17*Z128,IF(BJ128=2,'System Info'!$D$18*Z128,0))))</f>
        <v>0</v>
      </c>
      <c r="BM128" s="173">
        <f>IF(BJ128=-1,0,IF(BJ128=0,((BH128*120*BO128)/(67.5*500))*Z128*'System Info'!$D$13,IF(BJ128=1,0,IF(BJ128=2,((BH128*120*BO128)/(67.5*500))*Z128*'System Info'!$D$13,0))))</f>
        <v>0</v>
      </c>
      <c r="BN128" s="173">
        <f t="shared" si="18"/>
        <v>0</v>
      </c>
      <c r="BO128" s="173">
        <f t="shared" si="6"/>
        <v>0</v>
      </c>
    </row>
    <row r="129" spans="24:67" hidden="1" x14ac:dyDescent="0.25">
      <c r="X129" s="193"/>
      <c r="Y129" s="193"/>
      <c r="Z129" s="193"/>
      <c r="AA129" s="193"/>
      <c r="AB129" s="193"/>
      <c r="AC129" s="193"/>
      <c r="AD129" s="194"/>
      <c r="AE129" s="194"/>
      <c r="AF129" s="194"/>
      <c r="AG129" s="194"/>
      <c r="AH129" s="194"/>
      <c r="AI129" s="194"/>
      <c r="AJ129" s="194"/>
      <c r="AK129" s="194"/>
      <c r="AL129" s="173">
        <f t="shared" si="7"/>
        <v>0</v>
      </c>
      <c r="AM129" s="172">
        <f t="shared" si="2"/>
        <v>0</v>
      </c>
      <c r="AN129" s="172">
        <f t="shared" si="8"/>
        <v>0</v>
      </c>
      <c r="AO129" s="172">
        <f t="shared" si="9"/>
        <v>0</v>
      </c>
      <c r="AP129" s="182">
        <f t="shared" si="10"/>
        <v>0</v>
      </c>
      <c r="AQ129" s="182">
        <f t="shared" si="11"/>
        <v>0</v>
      </c>
      <c r="AR129" s="182">
        <f t="shared" si="12"/>
        <v>0</v>
      </c>
      <c r="AS129" s="182">
        <f t="shared" si="13"/>
        <v>0</v>
      </c>
      <c r="AT129" s="182">
        <f t="shared" si="3"/>
        <v>0</v>
      </c>
      <c r="AU129" s="182">
        <f t="shared" si="14"/>
        <v>0</v>
      </c>
      <c r="AV129" s="182">
        <f t="shared" si="15"/>
        <v>0</v>
      </c>
      <c r="AW129" s="182">
        <f t="shared" si="4"/>
        <v>0</v>
      </c>
      <c r="AX129" s="182">
        <f t="shared" si="19"/>
        <v>0</v>
      </c>
      <c r="AY129" s="182">
        <f t="shared" si="16"/>
        <v>0</v>
      </c>
      <c r="AZ129" s="182">
        <f t="shared" si="5"/>
        <v>0</v>
      </c>
      <c r="BA129" s="195">
        <f>IF(COUNTA(X129)&gt;0,IF(COUNTA(AF129)&gt;0,AF129,VLOOKUP(X129,Consumption!$A$4:$R$69,14,FALSE)),0)</f>
        <v>0</v>
      </c>
      <c r="BB129" s="180">
        <f>IF(COUNTA(X129)&gt;0,IF(COUNTA(AI129)&gt;0,AI129,VLOOKUP(X129,Consumption!$A$4:$R$69,16,FALSE)),0)</f>
        <v>0</v>
      </c>
      <c r="BC129" s="180">
        <f>IF(COUNTA(X129)&gt;0,IF(COUNTA(AK129),AK129,VLOOKUP(X129,Consumption!$A$4:$R$69,17,FALSE)),0)</f>
        <v>0</v>
      </c>
      <c r="BD129" s="177">
        <f>IF(COUNTA(X129)=0,0,IF(COUNTA(AD129)=0,'System Info'!$D$20,AD129))</f>
        <v>0</v>
      </c>
      <c r="BE129" s="177">
        <f>IF(COUNTA(X129)=0,0,IF(COUNTA(AG129)=0,'System Info'!$D$19,AG129))</f>
        <v>0</v>
      </c>
      <c r="BF129" s="177">
        <f>IF(COUNTA(X129)=0,0,IF(COUNTA(AJ129)=0,'System Info'!$D$21,AJ129))</f>
        <v>0</v>
      </c>
      <c r="BG129" s="177">
        <f>IF(COUNTA(X129)=0,0,IF(COUNTA(AE129)=0,VLOOKUP(X129,Consumption!$A$4:$M$69,5,FALSE),AE129))</f>
        <v>0</v>
      </c>
      <c r="BH129" s="177">
        <f>IF(COUNTA(X129)=0,0,IF(COUNTA(AH129)=0,VLOOKUP(X129,Consumption!$A$4:$M$69,8,FALSE),AH129))</f>
        <v>0</v>
      </c>
      <c r="BI129" s="173">
        <f>IF(COUNTA(X129)&gt;0,IF(COUNTA(AK129),AK129,VLOOKUP(X129,Consumption!$A$4:$R$69,17,FALSE)),0)</f>
        <v>0</v>
      </c>
      <c r="BJ129" s="173">
        <f t="shared" si="17"/>
        <v>-1</v>
      </c>
      <c r="BK129" s="173">
        <f>IF(COUNTA(X129)=0,0,IF(Z129=0,0,VLOOKUP(X129,Consumption!$A$4:$AR$69,17,FALSE)-VLOOKUP(X129,Consumption!$A$4:$AR$69,18,FALSE)))</f>
        <v>0</v>
      </c>
      <c r="BL129" s="173">
        <f>IF(BJ129=-1,0,IF(BJ129=0,'System Info'!$D$18*Z129,IF(BJ129=1,'System Info'!$D$17*Z129,IF(BJ129=2,'System Info'!$D$18*Z129,0))))</f>
        <v>0</v>
      </c>
      <c r="BM129" s="173">
        <f>IF(BJ129=-1,0,IF(BJ129=0,((BH129*120*BO129)/(67.5*500))*Z129*'System Info'!$D$13,IF(BJ129=1,0,IF(BJ129=2,((BH129*120*BO129)/(67.5*500))*Z129*'System Info'!$D$13,0))))</f>
        <v>0</v>
      </c>
      <c r="BN129" s="173">
        <f t="shared" si="18"/>
        <v>0</v>
      </c>
      <c r="BO129" s="173">
        <f t="shared" si="6"/>
        <v>0</v>
      </c>
    </row>
    <row r="130" spans="24:67" hidden="1" x14ac:dyDescent="0.25">
      <c r="X130" s="193"/>
      <c r="Y130" s="193"/>
      <c r="Z130" s="193"/>
      <c r="AA130" s="193"/>
      <c r="AB130" s="193"/>
      <c r="AC130" s="193"/>
      <c r="AD130" s="194"/>
      <c r="AE130" s="194"/>
      <c r="AF130" s="194"/>
      <c r="AG130" s="194"/>
      <c r="AH130" s="194"/>
      <c r="AI130" s="194"/>
      <c r="AJ130" s="194"/>
      <c r="AK130" s="194"/>
      <c r="AL130" s="173">
        <f t="shared" si="7"/>
        <v>0</v>
      </c>
      <c r="AM130" s="172">
        <f t="shared" si="2"/>
        <v>0</v>
      </c>
      <c r="AN130" s="172">
        <f t="shared" si="8"/>
        <v>0</v>
      </c>
      <c r="AO130" s="172">
        <f t="shared" si="9"/>
        <v>0</v>
      </c>
      <c r="AP130" s="182">
        <f t="shared" si="10"/>
        <v>0</v>
      </c>
      <c r="AQ130" s="182">
        <f t="shared" si="11"/>
        <v>0</v>
      </c>
      <c r="AR130" s="182">
        <f t="shared" si="12"/>
        <v>0</v>
      </c>
      <c r="AS130" s="182">
        <f t="shared" si="13"/>
        <v>0</v>
      </c>
      <c r="AT130" s="182">
        <f t="shared" si="3"/>
        <v>0</v>
      </c>
      <c r="AU130" s="182">
        <f t="shared" si="14"/>
        <v>0</v>
      </c>
      <c r="AV130" s="182">
        <f t="shared" si="15"/>
        <v>0</v>
      </c>
      <c r="AW130" s="182">
        <f t="shared" si="4"/>
        <v>0</v>
      </c>
      <c r="AX130" s="182">
        <f t="shared" si="19"/>
        <v>0</v>
      </c>
      <c r="AY130" s="182">
        <f t="shared" si="16"/>
        <v>0</v>
      </c>
      <c r="AZ130" s="182">
        <f t="shared" si="5"/>
        <v>0</v>
      </c>
      <c r="BA130" s="195">
        <f>IF(COUNTA(X130)&gt;0,IF(COUNTA(AF130)&gt;0,AF130,VLOOKUP(X130,Consumption!$A$4:$R$69,14,FALSE)),0)</f>
        <v>0</v>
      </c>
      <c r="BB130" s="180">
        <f>IF(COUNTA(X130)&gt;0,IF(COUNTA(AI130)&gt;0,AI130,VLOOKUP(X130,Consumption!$A$4:$R$69,16,FALSE)),0)</f>
        <v>0</v>
      </c>
      <c r="BC130" s="180">
        <f>IF(COUNTA(X130)&gt;0,IF(COUNTA(AK130),AK130,VLOOKUP(X130,Consumption!$A$4:$R$69,17,FALSE)),0)</f>
        <v>0</v>
      </c>
      <c r="BD130" s="177">
        <f>IF(COUNTA(X130)=0,0,IF(COUNTA(AD130)=0,'System Info'!$D$20,AD130))</f>
        <v>0</v>
      </c>
      <c r="BE130" s="177">
        <f>IF(COUNTA(X130)=0,0,IF(COUNTA(AG130)=0,'System Info'!$D$19,AG130))</f>
        <v>0</v>
      </c>
      <c r="BF130" s="177">
        <f>IF(COUNTA(X130)=0,0,IF(COUNTA(AJ130)=0,'System Info'!$D$21,AJ130))</f>
        <v>0</v>
      </c>
      <c r="BG130" s="177">
        <f>IF(COUNTA(X130)=0,0,IF(COUNTA(AE130)=0,VLOOKUP(X130,Consumption!$A$4:$M$69,5,FALSE),AE130))</f>
        <v>0</v>
      </c>
      <c r="BH130" s="177">
        <f>IF(COUNTA(X130)=0,0,IF(COUNTA(AH130)=0,VLOOKUP(X130,Consumption!$A$4:$M$69,8,FALSE),AH130))</f>
        <v>0</v>
      </c>
      <c r="BI130" s="173">
        <f>IF(COUNTA(X130)&gt;0,IF(COUNTA(AK130),AK130,VLOOKUP(X130,Consumption!$A$4:$R$69,17,FALSE)),0)</f>
        <v>0</v>
      </c>
      <c r="BJ130" s="173">
        <f t="shared" si="17"/>
        <v>-1</v>
      </c>
      <c r="BK130" s="173">
        <f>IF(COUNTA(X130)=0,0,IF(Z130=0,0,VLOOKUP(X130,Consumption!$A$4:$AR$69,17,FALSE)-VLOOKUP(X130,Consumption!$A$4:$AR$69,18,FALSE)))</f>
        <v>0</v>
      </c>
      <c r="BL130" s="173">
        <f>IF(BJ130=-1,0,IF(BJ130=0,'System Info'!$D$18*Z130,IF(BJ130=1,'System Info'!$D$17*Z130,IF(BJ130=2,'System Info'!$D$18*Z130,0))))</f>
        <v>0</v>
      </c>
      <c r="BM130" s="173">
        <f>IF(BJ130=-1,0,IF(BJ130=0,((BH130*120*BO130)/(67.5*500))*Z130*'System Info'!$D$13,IF(BJ130=1,0,IF(BJ130=2,((BH130*120*BO130)/(67.5*500))*Z130*'System Info'!$D$13,0))))</f>
        <v>0</v>
      </c>
      <c r="BN130" s="173">
        <f t="shared" si="18"/>
        <v>0</v>
      </c>
      <c r="BO130" s="173">
        <f t="shared" si="6"/>
        <v>0</v>
      </c>
    </row>
    <row r="131" spans="24:67" hidden="1" x14ac:dyDescent="0.25">
      <c r="X131" s="193"/>
      <c r="Y131" s="193"/>
      <c r="Z131" s="193"/>
      <c r="AA131" s="193"/>
      <c r="AB131" s="193"/>
      <c r="AC131" s="193"/>
      <c r="AD131" s="194"/>
      <c r="AE131" s="194"/>
      <c r="AF131" s="194"/>
      <c r="AG131" s="194"/>
      <c r="AH131" s="194"/>
      <c r="AI131" s="194"/>
      <c r="AJ131" s="194"/>
      <c r="AK131" s="194"/>
      <c r="AL131" s="173">
        <f t="shared" si="7"/>
        <v>0</v>
      </c>
      <c r="AM131" s="172">
        <f t="shared" si="2"/>
        <v>0</v>
      </c>
      <c r="AN131" s="172">
        <f t="shared" si="8"/>
        <v>0</v>
      </c>
      <c r="AO131" s="172">
        <f t="shared" si="9"/>
        <v>0</v>
      </c>
      <c r="AP131" s="182">
        <f t="shared" si="10"/>
        <v>0</v>
      </c>
      <c r="AQ131" s="182">
        <f t="shared" si="11"/>
        <v>0</v>
      </c>
      <c r="AR131" s="182">
        <f t="shared" si="12"/>
        <v>0</v>
      </c>
      <c r="AS131" s="182">
        <f t="shared" si="13"/>
        <v>0</v>
      </c>
      <c r="AT131" s="182">
        <f t="shared" si="3"/>
        <v>0</v>
      </c>
      <c r="AU131" s="182">
        <f t="shared" si="14"/>
        <v>0</v>
      </c>
      <c r="AV131" s="182">
        <f t="shared" si="15"/>
        <v>0</v>
      </c>
      <c r="AW131" s="182">
        <f t="shared" si="4"/>
        <v>0</v>
      </c>
      <c r="AX131" s="182">
        <f t="shared" si="19"/>
        <v>0</v>
      </c>
      <c r="AY131" s="182">
        <f t="shared" si="16"/>
        <v>0</v>
      </c>
      <c r="AZ131" s="182">
        <f t="shared" si="5"/>
        <v>0</v>
      </c>
      <c r="BA131" s="195">
        <f>IF(COUNTA(X131)&gt;0,IF(COUNTA(AF131)&gt;0,AF131,VLOOKUP(X131,Consumption!$A$4:$R$69,14,FALSE)),0)</f>
        <v>0</v>
      </c>
      <c r="BB131" s="180">
        <f>IF(COUNTA(X131)&gt;0,IF(COUNTA(AI131)&gt;0,AI131,VLOOKUP(X131,Consumption!$A$4:$R$69,16,FALSE)),0)</f>
        <v>0</v>
      </c>
      <c r="BC131" s="180">
        <f>IF(COUNTA(X131)&gt;0,IF(COUNTA(AK131),AK131,VLOOKUP(X131,Consumption!$A$4:$R$69,17,FALSE)),0)</f>
        <v>0</v>
      </c>
      <c r="BD131" s="177">
        <f>IF(COUNTA(X131)=0,0,IF(COUNTA(AD131)=0,'System Info'!$D$20,AD131))</f>
        <v>0</v>
      </c>
      <c r="BE131" s="177">
        <f>IF(COUNTA(X131)=0,0,IF(COUNTA(AG131)=0,'System Info'!$D$19,AG131))</f>
        <v>0</v>
      </c>
      <c r="BF131" s="177">
        <f>IF(COUNTA(X131)=0,0,IF(COUNTA(AJ131)=0,'System Info'!$D$21,AJ131))</f>
        <v>0</v>
      </c>
      <c r="BG131" s="177">
        <f>IF(COUNTA(X131)=0,0,IF(COUNTA(AE131)=0,VLOOKUP(X131,Consumption!$A$4:$M$69,5,FALSE),AE131))</f>
        <v>0</v>
      </c>
      <c r="BH131" s="177">
        <f>IF(COUNTA(X131)=0,0,IF(COUNTA(AH131)=0,VLOOKUP(X131,Consumption!$A$4:$M$69,8,FALSE),AH131))</f>
        <v>0</v>
      </c>
      <c r="BI131" s="173">
        <f>IF(COUNTA(X131)&gt;0,IF(COUNTA(AK131),AK131,VLOOKUP(X131,Consumption!$A$4:$R$69,17,FALSE)),0)</f>
        <v>0</v>
      </c>
      <c r="BJ131" s="173">
        <f t="shared" si="17"/>
        <v>-1</v>
      </c>
      <c r="BK131" s="173">
        <f>IF(COUNTA(X131)=0,0,IF(Z131=0,0,VLOOKUP(X131,Consumption!$A$4:$AR$69,17,FALSE)-VLOOKUP(X131,Consumption!$A$4:$AR$69,18,FALSE)))</f>
        <v>0</v>
      </c>
      <c r="BL131" s="173">
        <f>IF(BJ131=-1,0,IF(BJ131=0,'System Info'!$D$18*Z131,IF(BJ131=1,'System Info'!$D$17*Z131,IF(BJ131=2,'System Info'!$D$18*Z131,0))))</f>
        <v>0</v>
      </c>
      <c r="BM131" s="173">
        <f>IF(BJ131=-1,0,IF(BJ131=0,((BH131*120*BO131)/(67.5*500))*Z131*'System Info'!$D$13,IF(BJ131=1,0,IF(BJ131=2,((BH131*120*BO131)/(67.5*500))*Z131*'System Info'!$D$13,0))))</f>
        <v>0</v>
      </c>
      <c r="BN131" s="173">
        <f t="shared" si="18"/>
        <v>0</v>
      </c>
      <c r="BO131" s="173">
        <f t="shared" si="6"/>
        <v>0</v>
      </c>
    </row>
    <row r="132" spans="24:67" hidden="1" x14ac:dyDescent="0.25">
      <c r="X132" s="193"/>
      <c r="Y132" s="193"/>
      <c r="Z132" s="193"/>
      <c r="AA132" s="193"/>
      <c r="AB132" s="193"/>
      <c r="AC132" s="193"/>
      <c r="AD132" s="194"/>
      <c r="AE132" s="194"/>
      <c r="AF132" s="194"/>
      <c r="AG132" s="194"/>
      <c r="AH132" s="194"/>
      <c r="AI132" s="194"/>
      <c r="AJ132" s="194"/>
      <c r="AK132" s="194"/>
      <c r="AL132" s="173">
        <f t="shared" si="7"/>
        <v>0</v>
      </c>
      <c r="AM132" s="172">
        <f t="shared" si="2"/>
        <v>0</v>
      </c>
      <c r="AN132" s="172">
        <f t="shared" si="8"/>
        <v>0</v>
      </c>
      <c r="AO132" s="172">
        <f t="shared" si="9"/>
        <v>0</v>
      </c>
      <c r="AP132" s="182">
        <f t="shared" si="10"/>
        <v>0</v>
      </c>
      <c r="AQ132" s="182">
        <f t="shared" si="11"/>
        <v>0</v>
      </c>
      <c r="AR132" s="182">
        <f t="shared" si="12"/>
        <v>0</v>
      </c>
      <c r="AS132" s="182">
        <f t="shared" si="13"/>
        <v>0</v>
      </c>
      <c r="AT132" s="182">
        <f t="shared" si="3"/>
        <v>0</v>
      </c>
      <c r="AU132" s="182">
        <f t="shared" si="14"/>
        <v>0</v>
      </c>
      <c r="AV132" s="182">
        <f t="shared" si="15"/>
        <v>0</v>
      </c>
      <c r="AW132" s="182">
        <f t="shared" si="4"/>
        <v>0</v>
      </c>
      <c r="AX132" s="182">
        <f t="shared" si="19"/>
        <v>0</v>
      </c>
      <c r="AY132" s="182">
        <f t="shared" si="16"/>
        <v>0</v>
      </c>
      <c r="AZ132" s="182">
        <f t="shared" si="5"/>
        <v>0</v>
      </c>
      <c r="BA132" s="195">
        <f>IF(COUNTA(X132)&gt;0,IF(COUNTA(AF132)&gt;0,AF132,VLOOKUP(X132,Consumption!$A$4:$R$69,14,FALSE)),0)</f>
        <v>0</v>
      </c>
      <c r="BB132" s="180">
        <f>IF(COUNTA(X132)&gt;0,IF(COUNTA(AI132)&gt;0,AI132,VLOOKUP(X132,Consumption!$A$4:$R$69,16,FALSE)),0)</f>
        <v>0</v>
      </c>
      <c r="BC132" s="180">
        <f>IF(COUNTA(X132)&gt;0,IF(COUNTA(AK132),AK132,VLOOKUP(X132,Consumption!$A$4:$R$69,17,FALSE)),0)</f>
        <v>0</v>
      </c>
      <c r="BD132" s="177">
        <f>IF(COUNTA(X132)=0,0,IF(COUNTA(AD132)=0,'System Info'!$D$20,AD132))</f>
        <v>0</v>
      </c>
      <c r="BE132" s="177">
        <f>IF(COUNTA(X132)=0,0,IF(COUNTA(AG132)=0,'System Info'!$D$19,AG132))</f>
        <v>0</v>
      </c>
      <c r="BF132" s="177">
        <f>IF(COUNTA(X132)=0,0,IF(COUNTA(AJ132)=0,'System Info'!$D$21,AJ132))</f>
        <v>0</v>
      </c>
      <c r="BG132" s="177">
        <f>IF(COUNTA(X132)=0,0,IF(COUNTA(AE132)=0,VLOOKUP(X132,Consumption!$A$4:$M$69,5,FALSE),AE132))</f>
        <v>0</v>
      </c>
      <c r="BH132" s="177">
        <f>IF(COUNTA(X132)=0,0,IF(COUNTA(AH132)=0,VLOOKUP(X132,Consumption!$A$4:$M$69,8,FALSE),AH132))</f>
        <v>0</v>
      </c>
      <c r="BI132" s="173">
        <f>IF(COUNTA(X132)&gt;0,IF(COUNTA(AK132),AK132,VLOOKUP(X132,Consumption!$A$4:$R$69,17,FALSE)),0)</f>
        <v>0</v>
      </c>
      <c r="BJ132" s="173">
        <f t="shared" si="17"/>
        <v>-1</v>
      </c>
      <c r="BK132" s="173">
        <f>IF(COUNTA(X132)=0,0,IF(Z132=0,0,VLOOKUP(X132,Consumption!$A$4:$AR$69,17,FALSE)-VLOOKUP(X132,Consumption!$A$4:$AR$69,18,FALSE)))</f>
        <v>0</v>
      </c>
      <c r="BL132" s="173">
        <f>IF(BJ132=-1,0,IF(BJ132=0,'System Info'!$D$18*Z132,IF(BJ132=1,'System Info'!$D$17*Z132,IF(BJ132=2,'System Info'!$D$18*Z132,0))))</f>
        <v>0</v>
      </c>
      <c r="BM132" s="173">
        <f>IF(BJ132=-1,0,IF(BJ132=0,((BH132*120*BO132)/(67.5*500))*Z132*'System Info'!$D$13,IF(BJ132=1,0,IF(BJ132=2,((BH132*120*BO132)/(67.5*500))*Z132*'System Info'!$D$13,0))))</f>
        <v>0</v>
      </c>
      <c r="BN132" s="173">
        <f t="shared" si="18"/>
        <v>0</v>
      </c>
      <c r="BO132" s="173">
        <f t="shared" si="6"/>
        <v>0</v>
      </c>
    </row>
    <row r="133" spans="24:67" hidden="1" x14ac:dyDescent="0.25">
      <c r="X133" s="193"/>
      <c r="Y133" s="193"/>
      <c r="Z133" s="193"/>
      <c r="AA133" s="193"/>
      <c r="AB133" s="193"/>
      <c r="AC133" s="193"/>
      <c r="AD133" s="194"/>
      <c r="AE133" s="194"/>
      <c r="AF133" s="194"/>
      <c r="AG133" s="194"/>
      <c r="AH133" s="194"/>
      <c r="AI133" s="194"/>
      <c r="AJ133" s="194"/>
      <c r="AK133" s="194"/>
      <c r="AL133" s="173">
        <f t="shared" si="7"/>
        <v>0</v>
      </c>
      <c r="AM133" s="172">
        <f t="shared" si="2"/>
        <v>0</v>
      </c>
      <c r="AN133" s="172">
        <f t="shared" si="8"/>
        <v>0</v>
      </c>
      <c r="AO133" s="172">
        <f t="shared" si="9"/>
        <v>0</v>
      </c>
      <c r="AP133" s="182">
        <f t="shared" si="10"/>
        <v>0</v>
      </c>
      <c r="AQ133" s="182">
        <f t="shared" si="11"/>
        <v>0</v>
      </c>
      <c r="AR133" s="182">
        <f t="shared" si="12"/>
        <v>0</v>
      </c>
      <c r="AS133" s="182">
        <f t="shared" si="13"/>
        <v>0</v>
      </c>
      <c r="AT133" s="182">
        <f t="shared" si="3"/>
        <v>0</v>
      </c>
      <c r="AU133" s="182">
        <f t="shared" si="14"/>
        <v>0</v>
      </c>
      <c r="AV133" s="182">
        <f t="shared" si="15"/>
        <v>0</v>
      </c>
      <c r="AW133" s="182">
        <f t="shared" si="4"/>
        <v>0</v>
      </c>
      <c r="AX133" s="182">
        <f t="shared" si="19"/>
        <v>0</v>
      </c>
      <c r="AY133" s="182">
        <f t="shared" si="16"/>
        <v>0</v>
      </c>
      <c r="AZ133" s="182">
        <f t="shared" si="5"/>
        <v>0</v>
      </c>
      <c r="BA133" s="195">
        <f>IF(COUNTA(X133)&gt;0,IF(COUNTA(AF133)&gt;0,AF133,VLOOKUP(X133,Consumption!$A$4:$R$69,14,FALSE)),0)</f>
        <v>0</v>
      </c>
      <c r="BB133" s="180">
        <f>IF(COUNTA(X133)&gt;0,IF(COUNTA(AI133)&gt;0,AI133,VLOOKUP(X133,Consumption!$A$4:$R$69,16,FALSE)),0)</f>
        <v>0</v>
      </c>
      <c r="BC133" s="180">
        <f>IF(COUNTA(X133)&gt;0,IF(COUNTA(AK133),AK133,VLOOKUP(X133,Consumption!$A$4:$R$69,17,FALSE)),0)</f>
        <v>0</v>
      </c>
      <c r="BD133" s="177">
        <f>IF(COUNTA(X133)=0,0,IF(COUNTA(AD133)=0,'System Info'!$D$20,AD133))</f>
        <v>0</v>
      </c>
      <c r="BE133" s="177">
        <f>IF(COUNTA(X133)=0,0,IF(COUNTA(AG133)=0,'System Info'!$D$19,AG133))</f>
        <v>0</v>
      </c>
      <c r="BF133" s="177">
        <f>IF(COUNTA(X133)=0,0,IF(COUNTA(AJ133)=0,'System Info'!$D$21,AJ133))</f>
        <v>0</v>
      </c>
      <c r="BG133" s="177">
        <f>IF(COUNTA(X133)=0,0,IF(COUNTA(AE133)=0,VLOOKUP(X133,Consumption!$A$4:$M$69,5,FALSE),AE133))</f>
        <v>0</v>
      </c>
      <c r="BH133" s="177">
        <f>IF(COUNTA(X133)=0,0,IF(COUNTA(AH133)=0,VLOOKUP(X133,Consumption!$A$4:$M$69,8,FALSE),AH133))</f>
        <v>0</v>
      </c>
      <c r="BI133" s="173">
        <f>IF(COUNTA(X133)&gt;0,IF(COUNTA(AK133),AK133,VLOOKUP(X133,Consumption!$A$4:$R$69,17,FALSE)),0)</f>
        <v>0</v>
      </c>
      <c r="BJ133" s="173">
        <f t="shared" si="17"/>
        <v>-1</v>
      </c>
      <c r="BK133" s="173">
        <f>IF(COUNTA(X133)=0,0,IF(Z133=0,0,VLOOKUP(X133,Consumption!$A$4:$AR$69,17,FALSE)-VLOOKUP(X133,Consumption!$A$4:$AR$69,18,FALSE)))</f>
        <v>0</v>
      </c>
      <c r="BL133" s="173">
        <f>IF(BJ133=-1,0,IF(BJ133=0,'System Info'!$D$18*Z133,IF(BJ133=1,'System Info'!$D$17*Z133,IF(BJ133=2,'System Info'!$D$18*Z133,0))))</f>
        <v>0</v>
      </c>
      <c r="BM133" s="173">
        <f>IF(BJ133=-1,0,IF(BJ133=0,((BH133*120*BO133)/(67.5*500))*Z133*'System Info'!$D$13,IF(BJ133=1,0,IF(BJ133=2,((BH133*120*BO133)/(67.5*500))*Z133*'System Info'!$D$13,0))))</f>
        <v>0</v>
      </c>
      <c r="BN133" s="173">
        <f t="shared" si="18"/>
        <v>0</v>
      </c>
      <c r="BO133" s="173">
        <f t="shared" si="6"/>
        <v>0</v>
      </c>
    </row>
    <row r="134" spans="24:67" hidden="1" x14ac:dyDescent="0.25">
      <c r="X134" s="193"/>
      <c r="Y134" s="193"/>
      <c r="Z134" s="193"/>
      <c r="AA134" s="193"/>
      <c r="AB134" s="193"/>
      <c r="AC134" s="193"/>
      <c r="AD134" s="194"/>
      <c r="AE134" s="194"/>
      <c r="AF134" s="194"/>
      <c r="AG134" s="194"/>
      <c r="AH134" s="194"/>
      <c r="AI134" s="194"/>
      <c r="AJ134" s="194"/>
      <c r="AK134" s="194"/>
      <c r="AL134" s="173">
        <f t="shared" si="7"/>
        <v>0</v>
      </c>
      <c r="AM134" s="172">
        <f t="shared" si="2"/>
        <v>0</v>
      </c>
      <c r="AN134" s="172">
        <f t="shared" si="8"/>
        <v>0</v>
      </c>
      <c r="AO134" s="172">
        <f t="shared" si="9"/>
        <v>0</v>
      </c>
      <c r="AP134" s="182">
        <f t="shared" si="10"/>
        <v>0</v>
      </c>
      <c r="AQ134" s="182">
        <f t="shared" si="11"/>
        <v>0</v>
      </c>
      <c r="AR134" s="182">
        <f t="shared" si="12"/>
        <v>0</v>
      </c>
      <c r="AS134" s="182">
        <f t="shared" si="13"/>
        <v>0</v>
      </c>
      <c r="AT134" s="182">
        <f t="shared" si="3"/>
        <v>0</v>
      </c>
      <c r="AU134" s="182">
        <f t="shared" si="14"/>
        <v>0</v>
      </c>
      <c r="AV134" s="182">
        <f t="shared" si="15"/>
        <v>0</v>
      </c>
      <c r="AW134" s="182">
        <f t="shared" si="4"/>
        <v>0</v>
      </c>
      <c r="AX134" s="182">
        <f t="shared" si="19"/>
        <v>0</v>
      </c>
      <c r="AY134" s="182">
        <f t="shared" si="16"/>
        <v>0</v>
      </c>
      <c r="AZ134" s="182">
        <f t="shared" si="5"/>
        <v>0</v>
      </c>
      <c r="BA134" s="195">
        <f>IF(COUNTA(X134)&gt;0,IF(COUNTA(AF134)&gt;0,AF134,VLOOKUP(X134,Consumption!$A$4:$R$69,14,FALSE)),0)</f>
        <v>0</v>
      </c>
      <c r="BB134" s="180">
        <f>IF(COUNTA(X134)&gt;0,IF(COUNTA(AI134)&gt;0,AI134,VLOOKUP(X134,Consumption!$A$4:$R$69,16,FALSE)),0)</f>
        <v>0</v>
      </c>
      <c r="BC134" s="180">
        <f>IF(COUNTA(X134)&gt;0,IF(COUNTA(AK134),AK134,VLOOKUP(X134,Consumption!$A$4:$R$69,17,FALSE)),0)</f>
        <v>0</v>
      </c>
      <c r="BD134" s="177">
        <f>IF(COUNTA(X134)=0,0,IF(COUNTA(AD134)=0,'System Info'!$D$20,AD134))</f>
        <v>0</v>
      </c>
      <c r="BE134" s="177">
        <f>IF(COUNTA(X134)=0,0,IF(COUNTA(AG134)=0,'System Info'!$D$19,AG134))</f>
        <v>0</v>
      </c>
      <c r="BF134" s="177">
        <f>IF(COUNTA(X134)=0,0,IF(COUNTA(AJ134)=0,'System Info'!$D$21,AJ134))</f>
        <v>0</v>
      </c>
      <c r="BG134" s="177">
        <f>IF(COUNTA(X134)=0,0,IF(COUNTA(AE134)=0,VLOOKUP(X134,Consumption!$A$4:$M$69,5,FALSE),AE134))</f>
        <v>0</v>
      </c>
      <c r="BH134" s="177">
        <f>IF(COUNTA(X134)=0,0,IF(COUNTA(AH134)=0,VLOOKUP(X134,Consumption!$A$4:$M$69,8,FALSE),AH134))</f>
        <v>0</v>
      </c>
      <c r="BI134" s="173">
        <f>IF(COUNTA(X134)&gt;0,IF(COUNTA(AK134),AK134,VLOOKUP(X134,Consumption!$A$4:$R$69,17,FALSE)),0)</f>
        <v>0</v>
      </c>
      <c r="BJ134" s="173">
        <f t="shared" si="17"/>
        <v>-1</v>
      </c>
      <c r="BK134" s="173">
        <f>IF(COUNTA(X134)=0,0,IF(Z134=0,0,VLOOKUP(X134,Consumption!$A$4:$AR$69,17,FALSE)-VLOOKUP(X134,Consumption!$A$4:$AR$69,18,FALSE)))</f>
        <v>0</v>
      </c>
      <c r="BL134" s="173">
        <f>IF(BJ134=-1,0,IF(BJ134=0,'System Info'!$D$18*Z134,IF(BJ134=1,'System Info'!$D$17*Z134,IF(BJ134=2,'System Info'!$D$18*Z134,0))))</f>
        <v>0</v>
      </c>
      <c r="BM134" s="173">
        <f>IF(BJ134=-1,0,IF(BJ134=0,((BH134*120*BO134)/(67.5*500))*Z134*'System Info'!$D$13,IF(BJ134=1,0,IF(BJ134=2,((BH134*120*BO134)/(67.5*500))*Z134*'System Info'!$D$13,0))))</f>
        <v>0</v>
      </c>
      <c r="BN134" s="173">
        <f t="shared" si="18"/>
        <v>0</v>
      </c>
      <c r="BO134" s="173">
        <f t="shared" si="6"/>
        <v>0</v>
      </c>
    </row>
    <row r="135" spans="24:67" hidden="1" x14ac:dyDescent="0.25">
      <c r="X135" s="196"/>
      <c r="Y135" s="196"/>
      <c r="Z135" s="196"/>
      <c r="AA135" s="196"/>
      <c r="AB135" s="196"/>
      <c r="AC135" s="196"/>
      <c r="AD135" s="197"/>
      <c r="AE135" s="197"/>
      <c r="AF135" s="197"/>
      <c r="AG135" s="197"/>
      <c r="AH135" s="197"/>
      <c r="AI135" s="197"/>
      <c r="AJ135" s="197"/>
      <c r="AK135" s="197"/>
      <c r="AL135" s="173">
        <f t="shared" si="7"/>
        <v>0</v>
      </c>
      <c r="AM135" s="172">
        <f t="shared" si="2"/>
        <v>0</v>
      </c>
      <c r="AN135" s="172">
        <f t="shared" si="8"/>
        <v>0</v>
      </c>
      <c r="AO135" s="172">
        <f t="shared" si="9"/>
        <v>0</v>
      </c>
      <c r="AP135" s="182">
        <f t="shared" si="10"/>
        <v>0</v>
      </c>
      <c r="AQ135" s="182">
        <f t="shared" si="11"/>
        <v>0</v>
      </c>
      <c r="AR135" s="182">
        <f t="shared" si="12"/>
        <v>0</v>
      </c>
      <c r="AS135" s="182">
        <f t="shared" si="13"/>
        <v>0</v>
      </c>
      <c r="AT135" s="182">
        <f t="shared" si="3"/>
        <v>0</v>
      </c>
      <c r="AU135" s="182">
        <f t="shared" si="14"/>
        <v>0</v>
      </c>
      <c r="AV135" s="182">
        <f t="shared" si="15"/>
        <v>0</v>
      </c>
      <c r="AW135" s="182">
        <f t="shared" si="4"/>
        <v>0</v>
      </c>
      <c r="AX135" s="182">
        <f t="shared" si="19"/>
        <v>0</v>
      </c>
      <c r="AY135" s="182">
        <f t="shared" si="16"/>
        <v>0</v>
      </c>
      <c r="AZ135" s="182">
        <f t="shared" si="5"/>
        <v>0</v>
      </c>
      <c r="BA135" s="195">
        <f>IF(COUNTA(X135)&gt;0,IF(COUNTA(AF135)&gt;0,AF135,VLOOKUP(X135,Consumption!$A$4:$R$69,14,FALSE)),0)</f>
        <v>0</v>
      </c>
      <c r="BB135" s="180">
        <f>IF(COUNTA(X135)&gt;0,IF(COUNTA(AI135)&gt;0,AI135,VLOOKUP(X135,Consumption!$A$4:$R$69,16,FALSE)),0)</f>
        <v>0</v>
      </c>
      <c r="BC135" s="180">
        <f>IF(COUNTA(X135)&gt;0,IF(COUNTA(AK135),AK135,VLOOKUP(X135,Consumption!$A$4:$R$69,17,FALSE)),0)</f>
        <v>0</v>
      </c>
      <c r="BD135" s="177">
        <f>IF(COUNTA(X135)=0,0,IF(COUNTA(AD135)=0,'System Info'!$D$20,AD135))</f>
        <v>0</v>
      </c>
      <c r="BE135" s="177">
        <f>IF(COUNTA(X135)=0,0,IF(COUNTA(AG135)=0,'System Info'!$D$19,AG135))</f>
        <v>0</v>
      </c>
      <c r="BF135" s="177">
        <f>IF(COUNTA(X135)=0,0,IF(COUNTA(AJ135)=0,'System Info'!$D$21,AJ135))</f>
        <v>0</v>
      </c>
      <c r="BG135" s="177">
        <f>IF(COUNTA(X135)=0,0,IF(COUNTA(AE135)=0,VLOOKUP(X135,Consumption!$A$4:$M$69,5,FALSE),AE135))</f>
        <v>0</v>
      </c>
      <c r="BH135" s="177">
        <f>IF(COUNTA(X135)=0,0,IF(COUNTA(AH135)=0,VLOOKUP(X135,Consumption!$A$4:$M$69,8,FALSE),AH135))</f>
        <v>0</v>
      </c>
      <c r="BI135" s="173">
        <f>IF(COUNTA(X135)&gt;0,IF(COUNTA(AK135),AK135,VLOOKUP(X135,Consumption!$A$4:$R$69,17,FALSE)),0)</f>
        <v>0</v>
      </c>
      <c r="BJ135" s="173">
        <f t="shared" si="17"/>
        <v>-1</v>
      </c>
      <c r="BK135" s="173">
        <f>IF(COUNTA(X135)=0,0,IF(Z135=0,0,VLOOKUP(X135,Consumption!$A$4:$AR$69,17,FALSE)-VLOOKUP(X135,Consumption!$A$4:$AR$69,18,FALSE)))</f>
        <v>0</v>
      </c>
      <c r="BL135" s="173">
        <f>IF(BJ135=-1,0,IF(BJ135=0,'System Info'!$D$18*Z135,IF(BJ135=1,'System Info'!$D$17*Z135,IF(BJ135=2,'System Info'!$D$18*Z135,0))))</f>
        <v>0</v>
      </c>
      <c r="BM135" s="173">
        <f>IF(BJ135=-1,0,IF(BJ135=0,((BH135*120*BO135)/(67.5*500))*Z135*'System Info'!$D$13,IF(BJ135=1,0,IF(BJ135=2,((BH135*120*BO135)/(67.5*500))*Z135*'System Info'!$D$13,0))))</f>
        <v>0</v>
      </c>
      <c r="BN135" s="173">
        <f t="shared" si="18"/>
        <v>0</v>
      </c>
      <c r="BO135" s="173">
        <f t="shared" si="6"/>
        <v>0</v>
      </c>
    </row>
    <row r="136" spans="24:67" hidden="1" x14ac:dyDescent="0.25"/>
    <row r="137" spans="24:67" hidden="1" x14ac:dyDescent="0.25"/>
    <row r="138" spans="24:67" hidden="1" x14ac:dyDescent="0.25"/>
    <row r="139" spans="24:67" hidden="1" x14ac:dyDescent="0.25"/>
    <row r="140" spans="24:67" hidden="1" x14ac:dyDescent="0.25"/>
    <row r="141" spans="24:67" hidden="1" x14ac:dyDescent="0.25"/>
    <row r="142" spans="24:67" hidden="1" x14ac:dyDescent="0.25"/>
    <row r="143" spans="24:67" hidden="1" x14ac:dyDescent="0.25"/>
    <row r="144" spans="24:67" hidden="1" x14ac:dyDescent="0.25"/>
    <row r="145" hidden="1" x14ac:dyDescent="0.25"/>
    <row r="146" hidden="1" x14ac:dyDescent="0.25"/>
    <row r="147" hidden="1" x14ac:dyDescent="0.25"/>
    <row r="148" hidden="1" x14ac:dyDescent="0.25"/>
  </sheetData>
  <sheetProtection password="C53C" sheet="1" objects="1" scenarios="1" selectLockedCells="1"/>
  <autoFilter ref="AB93:AB94">
    <sortState ref="AC103">
      <sortCondition ref="AC45:AC46"/>
    </sortState>
  </autoFilter>
  <sortState ref="AC102:AC103">
    <sortCondition ref="AC45"/>
  </sortState>
  <mergeCells count="44">
    <mergeCell ref="C24:D24"/>
    <mergeCell ref="B30:I31"/>
    <mergeCell ref="K21:K22"/>
    <mergeCell ref="C26:D26"/>
    <mergeCell ref="C27:D27"/>
    <mergeCell ref="C28:D28"/>
    <mergeCell ref="E21:G22"/>
    <mergeCell ref="B21:D23"/>
    <mergeCell ref="B24:B26"/>
    <mergeCell ref="E23:F23"/>
    <mergeCell ref="H21:I22"/>
    <mergeCell ref="H23:I23"/>
    <mergeCell ref="H12:I12"/>
    <mergeCell ref="A1:P1"/>
    <mergeCell ref="J10:K10"/>
    <mergeCell ref="J11:K11"/>
    <mergeCell ref="J12:K12"/>
    <mergeCell ref="A2:P3"/>
    <mergeCell ref="A6:P7"/>
    <mergeCell ref="E9:P9"/>
    <mergeCell ref="L21:P22"/>
    <mergeCell ref="J15:K15"/>
    <mergeCell ref="E10:F10"/>
    <mergeCell ref="E11:F11"/>
    <mergeCell ref="E12:F12"/>
    <mergeCell ref="E13:F13"/>
    <mergeCell ref="E14:F14"/>
    <mergeCell ref="E15:F15"/>
    <mergeCell ref="J13:K13"/>
    <mergeCell ref="J14:K14"/>
    <mergeCell ref="A17:P19"/>
    <mergeCell ref="H13:I13"/>
    <mergeCell ref="H14:I14"/>
    <mergeCell ref="H15:I15"/>
    <mergeCell ref="H10:I10"/>
    <mergeCell ref="H11:I11"/>
    <mergeCell ref="B38:I43"/>
    <mergeCell ref="B37:I37"/>
    <mergeCell ref="C25:D25"/>
    <mergeCell ref="C32:G32"/>
    <mergeCell ref="C33:G33"/>
    <mergeCell ref="C35:G35"/>
    <mergeCell ref="B32:B33"/>
    <mergeCell ref="C34:G34"/>
  </mergeCells>
  <dataValidations count="4">
    <dataValidation type="decimal" allowBlank="1" showInputMessage="1" showErrorMessage="1" sqref="AB123:AB133 L13:P13 D13:E13 G13:H13 J13">
      <formula1>0</formula1>
      <formula2>24</formula2>
    </dataValidation>
    <dataValidation type="whole" allowBlank="1" showInputMessage="1" showErrorMessage="1" sqref="AC123:AD133 L14:P14 D14:E14 G14:H14 J14">
      <formula1>0</formula1>
      <formula2>365</formula2>
    </dataValidation>
    <dataValidation type="whole" operator="lessThanOrEqual" allowBlank="1" showInputMessage="1" showErrorMessage="1" sqref="Y123:Z133">
      <formula1>X123</formula1>
    </dataValidation>
    <dataValidation type="whole" allowBlank="1" showInputMessage="1" showErrorMessage="1" sqref="L12:P12 D12:E12 G12:H12 J12">
      <formula1>0</formula1>
      <formula2>10000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Consumption!$A$2:$A$20</xm:f>
          </x14:formula1>
          <xm:sqref>X123:X135 L11:P11 J11 G11:H11 E11</xm:sqref>
        </x14:dataValidation>
        <x14:dataValidation type="list" operator="lessThanOrEqual" allowBlank="1" showInputMessage="1" showErrorMessage="1">
          <x14:formula1>
            <xm:f>Consumption!$AX$13:$AX$16</xm:f>
          </x14:formula1>
          <xm:sqref>AA123:AA135</xm:sqref>
        </x14:dataValidation>
        <x14:dataValidation type="list" allowBlank="1" showInputMessage="1" showErrorMessage="1">
          <x14:formula1>
            <xm:f>Consumption!$AX$13:$AX$16</xm:f>
          </x14:formula1>
          <xm:sqref>L15:P15 D15:E15 G15:H15 J15</xm:sqref>
        </x14:dataValidation>
        <x14:dataValidation type="list" allowBlank="1" showInputMessage="1" showErrorMessage="1">
          <x14:formula1>
            <xm:f>Consumption!$A$5:$A$20</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D249"/>
  <sheetViews>
    <sheetView showGridLines="0" zoomScale="55" zoomScaleNormal="55" workbookViewId="0">
      <selection activeCell="F13" sqref="F13"/>
    </sheetView>
  </sheetViews>
  <sheetFormatPr defaultRowHeight="15" x14ac:dyDescent="0.25"/>
  <cols>
    <col min="1" max="1" width="6" customWidth="1"/>
    <col min="2" max="2" width="61" customWidth="1"/>
    <col min="3" max="3" width="24.85546875" customWidth="1"/>
    <col min="4" max="4" width="24.42578125" customWidth="1"/>
    <col min="5" max="5" width="22.5703125" customWidth="1"/>
    <col min="6" max="6" width="30" customWidth="1"/>
    <col min="7" max="7" width="22" customWidth="1"/>
    <col min="8" max="8" width="23.140625" customWidth="1"/>
    <col min="9" max="9" width="21.28515625" customWidth="1"/>
    <col min="10" max="12" width="20.42578125" customWidth="1"/>
    <col min="13" max="14" width="16.28515625" customWidth="1"/>
    <col min="15" max="18" width="9.140625" customWidth="1"/>
    <col min="19" max="19" width="41.5703125" customWidth="1"/>
    <col min="20" max="21" width="12.42578125" customWidth="1"/>
    <col min="22" max="22" width="11.140625" customWidth="1"/>
    <col min="23" max="23" width="11.85546875" customWidth="1"/>
    <col min="24" max="27" width="9.140625" customWidth="1"/>
    <col min="28" max="28" width="10.7109375" customWidth="1"/>
    <col min="29" max="35" width="9.140625" customWidth="1"/>
  </cols>
  <sheetData>
    <row r="1" spans="1:19" ht="46.5" customHeight="1" x14ac:dyDescent="0.25">
      <c r="A1" s="301" t="s">
        <v>543</v>
      </c>
      <c r="B1" s="301"/>
      <c r="C1" s="301"/>
      <c r="D1" s="301"/>
      <c r="E1" s="301"/>
      <c r="F1" s="301"/>
      <c r="G1" s="301"/>
      <c r="H1" s="301"/>
      <c r="I1" s="301"/>
      <c r="J1" s="301"/>
      <c r="K1" s="301"/>
      <c r="L1" s="301"/>
    </row>
    <row r="2" spans="1:19" ht="15" customHeight="1" x14ac:dyDescent="0.25">
      <c r="A2" s="295" t="s">
        <v>490</v>
      </c>
      <c r="B2" s="296"/>
      <c r="C2" s="296"/>
      <c r="D2" s="296"/>
      <c r="E2" s="296"/>
      <c r="F2" s="296"/>
      <c r="G2" s="296"/>
      <c r="H2" s="296"/>
      <c r="I2" s="296"/>
      <c r="J2" s="296"/>
      <c r="K2" s="296"/>
      <c r="L2" s="297"/>
    </row>
    <row r="3" spans="1:19" x14ac:dyDescent="0.25">
      <c r="A3" s="298"/>
      <c r="B3" s="299"/>
      <c r="C3" s="299"/>
      <c r="D3" s="299"/>
      <c r="E3" s="299"/>
      <c r="F3" s="299"/>
      <c r="G3" s="299"/>
      <c r="H3" s="299"/>
      <c r="I3" s="299"/>
      <c r="J3" s="299"/>
      <c r="K3" s="299"/>
      <c r="L3" s="300"/>
    </row>
    <row r="4" spans="1:19" x14ac:dyDescent="0.25">
      <c r="A4" s="41"/>
      <c r="B4" s="41"/>
      <c r="C4" s="41"/>
      <c r="D4" s="41"/>
      <c r="E4" s="41"/>
      <c r="F4" s="41"/>
      <c r="G4" s="41"/>
      <c r="H4" s="41"/>
      <c r="I4" s="41"/>
      <c r="J4" s="41"/>
      <c r="K4" s="41"/>
      <c r="L4" s="41"/>
      <c r="M4" s="41"/>
      <c r="N4" s="41"/>
    </row>
    <row r="6" spans="1:19" ht="15" customHeight="1" x14ac:dyDescent="0.25">
      <c r="A6" s="305" t="s">
        <v>525</v>
      </c>
      <c r="B6" s="305"/>
      <c r="C6" s="305"/>
      <c r="D6" s="305"/>
      <c r="E6" s="305"/>
      <c r="F6" s="305"/>
      <c r="G6" s="305"/>
      <c r="H6" s="305"/>
      <c r="I6" s="305"/>
      <c r="J6" s="305"/>
      <c r="K6" s="305"/>
      <c r="L6" s="305"/>
    </row>
    <row r="7" spans="1:19" x14ac:dyDescent="0.25">
      <c r="A7" s="305"/>
      <c r="B7" s="305"/>
      <c r="C7" s="305"/>
      <c r="D7" s="305"/>
      <c r="E7" s="305"/>
      <c r="F7" s="305"/>
      <c r="G7" s="305"/>
      <c r="H7" s="305"/>
      <c r="I7" s="305"/>
      <c r="J7" s="305"/>
      <c r="K7" s="305"/>
      <c r="L7" s="305"/>
    </row>
    <row r="8" spans="1:19" ht="15" customHeight="1" x14ac:dyDescent="0.25">
      <c r="B8" s="254" t="s">
        <v>524</v>
      </c>
      <c r="C8" s="255" t="s">
        <v>542</v>
      </c>
      <c r="D8" s="253"/>
    </row>
    <row r="9" spans="1:19" ht="15" customHeight="1" x14ac:dyDescent="0.25">
      <c r="A9" s="292" t="s">
        <v>331</v>
      </c>
      <c r="B9" s="292"/>
      <c r="C9" s="292"/>
      <c r="D9" s="292"/>
      <c r="E9" s="292"/>
      <c r="F9" s="292"/>
      <c r="G9" s="292"/>
      <c r="H9" s="292"/>
      <c r="I9" s="292"/>
      <c r="J9" s="292"/>
      <c r="K9" s="292"/>
      <c r="L9" s="292"/>
    </row>
    <row r="10" spans="1:19" ht="15" customHeight="1" thickBot="1" x14ac:dyDescent="0.3">
      <c r="A10" s="270"/>
      <c r="B10" s="270"/>
      <c r="C10" s="270"/>
      <c r="D10" s="270"/>
      <c r="E10" s="270"/>
      <c r="F10" s="270"/>
      <c r="G10" s="270"/>
      <c r="H10" s="270"/>
      <c r="I10" s="270"/>
      <c r="J10" s="270"/>
      <c r="K10" s="270"/>
      <c r="L10" s="270"/>
      <c r="M10" s="151"/>
      <c r="N10" s="151"/>
    </row>
    <row r="11" spans="1:19" ht="15" customHeight="1" thickTop="1" x14ac:dyDescent="0.25">
      <c r="A11" s="147"/>
      <c r="B11" s="147"/>
      <c r="C11" s="147"/>
      <c r="D11" s="147"/>
      <c r="E11" s="147"/>
      <c r="F11" s="147"/>
      <c r="G11" s="147"/>
      <c r="H11" s="78"/>
      <c r="I11" s="78"/>
      <c r="J11" s="78"/>
      <c r="K11" s="147"/>
      <c r="L11" s="147"/>
      <c r="S11" s="118"/>
    </row>
    <row r="12" spans="1:19" ht="15" customHeight="1" x14ac:dyDescent="0.25">
      <c r="A12" s="116" t="s">
        <v>303</v>
      </c>
      <c r="B12" s="304" t="s">
        <v>304</v>
      </c>
      <c r="C12" s="304"/>
      <c r="D12" s="304"/>
      <c r="E12" s="304"/>
      <c r="F12" s="220" t="s">
        <v>25</v>
      </c>
      <c r="G12" s="220" t="s">
        <v>330</v>
      </c>
      <c r="I12" s="78"/>
      <c r="J12" s="78"/>
      <c r="K12" s="147"/>
      <c r="L12" s="147"/>
      <c r="O12" s="78"/>
      <c r="S12" s="118"/>
    </row>
    <row r="13" spans="1:19" ht="15" customHeight="1" x14ac:dyDescent="0.25">
      <c r="A13" s="116" t="s">
        <v>290</v>
      </c>
      <c r="B13" s="303" t="s">
        <v>322</v>
      </c>
      <c r="C13" s="303"/>
      <c r="D13" s="303"/>
      <c r="E13" s="303"/>
      <c r="F13" s="221"/>
      <c r="G13" s="222">
        <v>0.2</v>
      </c>
      <c r="I13" s="78"/>
      <c r="J13" s="78"/>
      <c r="K13" s="147"/>
      <c r="L13" s="147"/>
    </row>
    <row r="14" spans="1:19" ht="15" customHeight="1" x14ac:dyDescent="0.25">
      <c r="A14" s="116" t="s">
        <v>290</v>
      </c>
      <c r="B14" s="302" t="s">
        <v>329</v>
      </c>
      <c r="C14" s="302"/>
      <c r="D14" s="302"/>
      <c r="E14" s="302"/>
      <c r="F14" s="223"/>
      <c r="G14" s="224">
        <v>7.0199999999999999E-2</v>
      </c>
      <c r="I14" s="147"/>
      <c r="J14" s="147"/>
      <c r="K14" s="147"/>
      <c r="L14" s="147"/>
    </row>
    <row r="15" spans="1:19" ht="15" customHeight="1" x14ac:dyDescent="0.25">
      <c r="A15" s="116" t="s">
        <v>290</v>
      </c>
      <c r="B15" s="303" t="s">
        <v>323</v>
      </c>
      <c r="C15" s="303"/>
      <c r="D15" s="303"/>
      <c r="E15" s="303"/>
      <c r="F15" s="225" t="s">
        <v>541</v>
      </c>
      <c r="G15" s="225">
        <v>0</v>
      </c>
      <c r="I15" s="78"/>
      <c r="J15" s="147"/>
      <c r="K15" s="147"/>
      <c r="L15" s="147"/>
    </row>
    <row r="16" spans="1:19" ht="15" customHeight="1" x14ac:dyDescent="0.25">
      <c r="A16" s="116" t="s">
        <v>290</v>
      </c>
      <c r="B16" s="302" t="s">
        <v>324</v>
      </c>
      <c r="C16" s="302"/>
      <c r="D16" s="302"/>
      <c r="E16" s="302"/>
      <c r="F16" s="226" t="s">
        <v>541</v>
      </c>
      <c r="G16" s="226">
        <v>0</v>
      </c>
      <c r="I16" s="78"/>
      <c r="J16" s="78"/>
      <c r="K16" s="147"/>
      <c r="L16" s="147"/>
    </row>
    <row r="17" spans="1:12" ht="15" customHeight="1" x14ac:dyDescent="0.25">
      <c r="A17" s="116" t="s">
        <v>290</v>
      </c>
      <c r="B17" s="303" t="s">
        <v>325</v>
      </c>
      <c r="C17" s="303"/>
      <c r="D17" s="303"/>
      <c r="E17" s="303"/>
      <c r="F17" s="225" t="s">
        <v>541</v>
      </c>
      <c r="G17" s="225">
        <v>0</v>
      </c>
      <c r="I17" s="78"/>
      <c r="J17" s="78"/>
      <c r="K17" s="147"/>
      <c r="L17" s="147"/>
    </row>
    <row r="18" spans="1:12" ht="15" customHeight="1" x14ac:dyDescent="0.25">
      <c r="A18" s="116" t="s">
        <v>290</v>
      </c>
      <c r="B18" s="302" t="s">
        <v>326</v>
      </c>
      <c r="C18" s="302"/>
      <c r="D18" s="302"/>
      <c r="E18" s="302"/>
      <c r="F18" s="227" t="s">
        <v>541</v>
      </c>
      <c r="G18" s="227">
        <v>3</v>
      </c>
      <c r="I18" s="147"/>
      <c r="J18" s="147"/>
      <c r="K18" s="147"/>
      <c r="L18" s="147"/>
    </row>
    <row r="19" spans="1:12" ht="15" customHeight="1" x14ac:dyDescent="0.25">
      <c r="A19" s="116" t="s">
        <v>290</v>
      </c>
      <c r="B19" s="303" t="s">
        <v>327</v>
      </c>
      <c r="C19" s="303"/>
      <c r="D19" s="303"/>
      <c r="E19" s="303"/>
      <c r="F19" s="225" t="s">
        <v>541</v>
      </c>
      <c r="G19" s="228">
        <v>2</v>
      </c>
      <c r="I19" s="147"/>
      <c r="J19" s="147"/>
      <c r="K19" s="147"/>
      <c r="L19" s="147"/>
    </row>
    <row r="20" spans="1:12" ht="15" customHeight="1" x14ac:dyDescent="0.25">
      <c r="A20" s="116" t="s">
        <v>290</v>
      </c>
      <c r="B20" s="302" t="s">
        <v>328</v>
      </c>
      <c r="C20" s="302"/>
      <c r="D20" s="302"/>
      <c r="E20" s="302"/>
      <c r="F20" s="227" t="s">
        <v>541</v>
      </c>
      <c r="G20" s="227">
        <v>2</v>
      </c>
      <c r="I20" s="147"/>
      <c r="J20" s="147"/>
      <c r="K20" s="147"/>
      <c r="L20" s="147"/>
    </row>
    <row r="21" spans="1:12" ht="15" customHeight="1" x14ac:dyDescent="0.25">
      <c r="A21" s="147"/>
      <c r="B21" s="147"/>
      <c r="C21" s="147"/>
      <c r="D21" s="147"/>
      <c r="E21" s="147"/>
      <c r="F21" s="147"/>
      <c r="G21" s="147"/>
      <c r="H21" s="147"/>
      <c r="I21" s="147"/>
      <c r="J21" s="147"/>
      <c r="K21" s="147"/>
      <c r="L21" s="147"/>
    </row>
    <row r="22" spans="1:12" x14ac:dyDescent="0.25">
      <c r="A22" s="147"/>
      <c r="B22" s="147"/>
      <c r="C22" s="147"/>
      <c r="D22" s="147"/>
      <c r="E22" s="147"/>
      <c r="F22" s="147"/>
      <c r="G22" s="147"/>
      <c r="H22" s="147"/>
      <c r="I22" s="147"/>
      <c r="J22" s="147"/>
      <c r="K22" s="147"/>
      <c r="L22" s="147"/>
    </row>
    <row r="23" spans="1:12" ht="15" customHeight="1" x14ac:dyDescent="0.25">
      <c r="A23" s="322" t="s">
        <v>515</v>
      </c>
      <c r="B23" s="322"/>
      <c r="C23" s="322"/>
      <c r="D23" s="322"/>
      <c r="E23" s="322"/>
      <c r="F23" s="322"/>
      <c r="G23" s="322"/>
      <c r="H23" s="322"/>
      <c r="I23" s="322"/>
      <c r="J23" s="322"/>
      <c r="K23" s="322"/>
      <c r="L23" s="322"/>
    </row>
    <row r="24" spans="1:12" ht="15" customHeight="1" x14ac:dyDescent="0.25">
      <c r="A24" s="323"/>
      <c r="B24" s="323"/>
      <c r="C24" s="323"/>
      <c r="D24" s="323"/>
      <c r="E24" s="323"/>
      <c r="F24" s="323"/>
      <c r="G24" s="323"/>
      <c r="H24" s="323"/>
      <c r="I24" s="323"/>
      <c r="J24" s="323"/>
      <c r="K24" s="323"/>
      <c r="L24" s="323"/>
    </row>
    <row r="25" spans="1:12" ht="15" customHeight="1" x14ac:dyDescent="0.25">
      <c r="A25" s="323"/>
      <c r="B25" s="323"/>
      <c r="C25" s="323"/>
      <c r="D25" s="323"/>
      <c r="E25" s="323"/>
      <c r="F25" s="323"/>
      <c r="G25" s="323"/>
      <c r="H25" s="323"/>
      <c r="I25" s="323"/>
      <c r="J25" s="323"/>
      <c r="K25" s="323"/>
      <c r="L25" s="323"/>
    </row>
    <row r="26" spans="1:12" ht="15" customHeight="1" x14ac:dyDescent="0.25">
      <c r="A26" s="292" t="s">
        <v>343</v>
      </c>
      <c r="B26" s="292"/>
      <c r="C26" s="292"/>
      <c r="D26" s="292"/>
      <c r="E26" s="292"/>
      <c r="F26" s="292"/>
      <c r="G26" s="292"/>
      <c r="H26" s="292"/>
      <c r="I26" s="292"/>
      <c r="J26" s="292"/>
      <c r="K26" s="292"/>
      <c r="L26" s="292"/>
    </row>
    <row r="27" spans="1:12" ht="15" customHeight="1" thickBot="1" x14ac:dyDescent="0.3">
      <c r="A27" s="270"/>
      <c r="B27" s="270"/>
      <c r="C27" s="270"/>
      <c r="D27" s="270"/>
      <c r="E27" s="270"/>
      <c r="F27" s="270"/>
      <c r="G27" s="270"/>
      <c r="H27" s="270"/>
      <c r="I27" s="270"/>
      <c r="J27" s="270"/>
      <c r="K27" s="270"/>
      <c r="L27" s="270"/>
    </row>
    <row r="28" spans="1:12" ht="15" customHeight="1" thickTop="1" x14ac:dyDescent="0.25">
      <c r="A28" s="147"/>
      <c r="B28" s="147"/>
      <c r="C28" s="147"/>
      <c r="D28" s="147"/>
      <c r="E28" s="147"/>
      <c r="F28" s="147"/>
      <c r="G28" s="147"/>
      <c r="H28" s="147"/>
      <c r="I28" s="147"/>
      <c r="J28" s="147"/>
      <c r="K28" s="147"/>
      <c r="L28" s="147"/>
    </row>
    <row r="29" spans="1:12" ht="15.75" customHeight="1" x14ac:dyDescent="0.25">
      <c r="A29" s="116" t="s">
        <v>303</v>
      </c>
      <c r="B29" s="209" t="s">
        <v>304</v>
      </c>
      <c r="C29" s="215" t="s">
        <v>332</v>
      </c>
      <c r="D29" s="215" t="s">
        <v>333</v>
      </c>
      <c r="E29" s="215" t="s">
        <v>334</v>
      </c>
      <c r="F29" s="215" t="s">
        <v>335</v>
      </c>
      <c r="G29" s="215" t="s">
        <v>336</v>
      </c>
      <c r="H29" s="215" t="s">
        <v>337</v>
      </c>
      <c r="I29" s="215" t="s">
        <v>338</v>
      </c>
      <c r="J29" s="215" t="s">
        <v>339</v>
      </c>
      <c r="K29" s="215" t="s">
        <v>340</v>
      </c>
      <c r="L29" s="215" t="s">
        <v>341</v>
      </c>
    </row>
    <row r="30" spans="1:12" x14ac:dyDescent="0.25">
      <c r="A30" s="116" t="s">
        <v>290</v>
      </c>
      <c r="B30" s="206" t="s">
        <v>342</v>
      </c>
      <c r="C30" s="213"/>
      <c r="D30" s="213"/>
      <c r="E30" s="213"/>
      <c r="F30" s="213"/>
      <c r="G30" s="213"/>
      <c r="H30" s="213"/>
      <c r="I30" s="213"/>
      <c r="J30" s="213"/>
      <c r="K30" s="213"/>
      <c r="L30" s="213"/>
    </row>
    <row r="31" spans="1:12" x14ac:dyDescent="0.25">
      <c r="A31" s="116" t="s">
        <v>290</v>
      </c>
      <c r="B31" s="216" t="s">
        <v>69</v>
      </c>
      <c r="C31" s="217"/>
      <c r="D31" s="217"/>
      <c r="E31" s="217"/>
      <c r="F31" s="217"/>
      <c r="G31" s="217"/>
      <c r="H31" s="217"/>
      <c r="I31" s="217"/>
      <c r="J31" s="217"/>
      <c r="K31" s="217"/>
      <c r="L31" s="217"/>
    </row>
    <row r="32" spans="1:12" x14ac:dyDescent="0.25">
      <c r="A32" s="116" t="s">
        <v>290</v>
      </c>
      <c r="B32" s="206" t="s">
        <v>90</v>
      </c>
      <c r="C32" s="213"/>
      <c r="D32" s="213"/>
      <c r="E32" s="213"/>
      <c r="F32" s="213"/>
      <c r="G32" s="213"/>
      <c r="H32" s="213"/>
      <c r="I32" s="213"/>
      <c r="J32" s="213"/>
      <c r="K32" s="213"/>
      <c r="L32" s="213"/>
    </row>
    <row r="33" spans="1:12" x14ac:dyDescent="0.25">
      <c r="A33" s="116" t="s">
        <v>290</v>
      </c>
      <c r="B33" s="216" t="s">
        <v>70</v>
      </c>
      <c r="C33" s="217"/>
      <c r="D33" s="217"/>
      <c r="E33" s="217"/>
      <c r="F33" s="217"/>
      <c r="G33" s="217"/>
      <c r="H33" s="217"/>
      <c r="I33" s="217"/>
      <c r="J33" s="217"/>
      <c r="K33" s="217"/>
      <c r="L33" s="217"/>
    </row>
    <row r="34" spans="1:12" x14ac:dyDescent="0.25">
      <c r="A34" s="116" t="s">
        <v>290</v>
      </c>
      <c r="B34" s="218" t="s">
        <v>289</v>
      </c>
      <c r="C34" s="219"/>
      <c r="D34" s="219"/>
      <c r="E34" s="219"/>
      <c r="F34" s="219"/>
      <c r="G34" s="213"/>
      <c r="H34" s="213"/>
      <c r="I34" s="213"/>
      <c r="J34" s="213"/>
      <c r="K34" s="213"/>
      <c r="L34" s="219"/>
    </row>
    <row r="35" spans="1:12" ht="15" customHeight="1" x14ac:dyDescent="0.25">
      <c r="B35" s="147"/>
      <c r="C35" s="147"/>
      <c r="D35" s="147"/>
      <c r="E35" s="147"/>
      <c r="F35" s="147"/>
      <c r="G35" s="147"/>
      <c r="H35" s="147"/>
      <c r="I35" s="147"/>
      <c r="J35" s="147"/>
      <c r="K35" s="147"/>
      <c r="L35" s="147"/>
    </row>
    <row r="36" spans="1:12" ht="15.75" customHeight="1" thickBot="1" x14ac:dyDescent="0.3">
      <c r="A36" s="147"/>
      <c r="B36" s="147"/>
      <c r="C36" s="147"/>
      <c r="D36" s="147"/>
      <c r="E36" s="116" t="s">
        <v>290</v>
      </c>
      <c r="F36" s="313" t="s">
        <v>471</v>
      </c>
      <c r="G36" s="314"/>
      <c r="H36" s="314"/>
      <c r="I36" s="315" t="str">
        <f>IF(specpow&lt;=0,"Fill in compressor information to get an estimate.",TEXT(T122/(1-dftleak),"0.0")&amp;" kW per 100 CFM")</f>
        <v>Fill in compressor information to get an estimate.</v>
      </c>
      <c r="J36" s="315"/>
      <c r="K36" s="315"/>
      <c r="L36" s="147"/>
    </row>
    <row r="38" spans="1:12" ht="15" customHeight="1" x14ac:dyDescent="0.25"/>
    <row r="39" spans="1:12" ht="15" customHeight="1" x14ac:dyDescent="0.25">
      <c r="A39" s="307" t="s">
        <v>516</v>
      </c>
      <c r="B39" s="308"/>
      <c r="C39" s="308"/>
      <c r="D39" s="308"/>
      <c r="E39" s="308"/>
      <c r="F39" s="308"/>
      <c r="G39" s="308"/>
      <c r="H39" s="308"/>
      <c r="I39" s="308"/>
      <c r="J39" s="308"/>
      <c r="K39" s="308"/>
      <c r="L39" s="309"/>
    </row>
    <row r="40" spans="1:12" ht="15" customHeight="1" x14ac:dyDescent="0.25">
      <c r="A40" s="310"/>
      <c r="B40" s="311"/>
      <c r="C40" s="311"/>
      <c r="D40" s="311"/>
      <c r="E40" s="311"/>
      <c r="F40" s="311"/>
      <c r="G40" s="311"/>
      <c r="H40" s="311"/>
      <c r="I40" s="311"/>
      <c r="J40" s="311"/>
      <c r="K40" s="311"/>
      <c r="L40" s="312"/>
    </row>
    <row r="41" spans="1:12" ht="15" customHeight="1" x14ac:dyDescent="0.25"/>
    <row r="42" spans="1:12" ht="15" customHeight="1" x14ac:dyDescent="0.25">
      <c r="A42" s="316" t="s">
        <v>344</v>
      </c>
      <c r="B42" s="316"/>
      <c r="C42" s="316"/>
      <c r="D42" s="316"/>
      <c r="E42" s="316"/>
      <c r="F42" s="316"/>
      <c r="G42" s="316"/>
      <c r="H42" s="316"/>
      <c r="I42" s="316"/>
      <c r="J42" s="316"/>
      <c r="K42" s="316"/>
      <c r="L42" s="317"/>
    </row>
    <row r="43" spans="1:12" ht="15" customHeight="1" thickBot="1" x14ac:dyDescent="0.3">
      <c r="A43" s="318"/>
      <c r="B43" s="318"/>
      <c r="C43" s="318"/>
      <c r="D43" s="318"/>
      <c r="E43" s="318"/>
      <c r="F43" s="318"/>
      <c r="G43" s="318"/>
      <c r="H43" s="318"/>
      <c r="I43" s="318"/>
      <c r="J43" s="318"/>
      <c r="K43" s="318"/>
      <c r="L43" s="319"/>
    </row>
    <row r="44" spans="1:12" ht="15" customHeight="1" thickTop="1" x14ac:dyDescent="0.25">
      <c r="A44" s="147"/>
      <c r="B44" s="147"/>
      <c r="C44" s="147"/>
      <c r="D44" s="30"/>
      <c r="E44" s="147"/>
      <c r="F44" s="147"/>
      <c r="G44" s="147"/>
      <c r="H44" s="147"/>
      <c r="I44" s="147"/>
      <c r="J44" s="147"/>
      <c r="K44" s="147"/>
      <c r="L44" s="147"/>
    </row>
    <row r="45" spans="1:12" ht="15" customHeight="1" x14ac:dyDescent="0.25">
      <c r="A45" s="116" t="s">
        <v>303</v>
      </c>
      <c r="B45" s="209" t="s">
        <v>304</v>
      </c>
      <c r="C45" s="211" t="s">
        <v>292</v>
      </c>
      <c r="D45" s="211" t="s">
        <v>293</v>
      </c>
      <c r="E45" s="211" t="s">
        <v>294</v>
      </c>
      <c r="F45" s="211" t="s">
        <v>295</v>
      </c>
      <c r="G45" s="211" t="s">
        <v>296</v>
      </c>
      <c r="H45" s="211" t="s">
        <v>297</v>
      </c>
      <c r="I45" s="211" t="s">
        <v>298</v>
      </c>
      <c r="J45" s="211" t="s">
        <v>299</v>
      </c>
      <c r="K45" s="211" t="s">
        <v>300</v>
      </c>
      <c r="L45" s="211" t="s">
        <v>301</v>
      </c>
    </row>
    <row r="46" spans="1:12" ht="15" customHeight="1" x14ac:dyDescent="0.25">
      <c r="A46" s="116" t="s">
        <v>290</v>
      </c>
      <c r="B46" s="212" t="s">
        <v>0</v>
      </c>
      <c r="C46" s="256"/>
      <c r="D46" s="213"/>
      <c r="E46" s="213"/>
      <c r="F46" s="213"/>
      <c r="G46" s="213"/>
      <c r="H46" s="213"/>
      <c r="I46" s="213"/>
      <c r="J46" s="213"/>
      <c r="K46" s="213"/>
      <c r="L46" s="213"/>
    </row>
    <row r="47" spans="1:12" ht="15" customHeight="1" x14ac:dyDescent="0.25">
      <c r="A47" s="116" t="s">
        <v>290</v>
      </c>
      <c r="B47" s="257" t="s">
        <v>58</v>
      </c>
      <c r="C47" s="258"/>
      <c r="D47" s="214"/>
      <c r="E47" s="214"/>
      <c r="F47" s="214"/>
      <c r="G47" s="214"/>
      <c r="H47" s="214"/>
      <c r="I47" s="214"/>
      <c r="J47" s="214"/>
      <c r="K47" s="214"/>
      <c r="L47" s="214"/>
    </row>
    <row r="48" spans="1:12" ht="15" customHeight="1" x14ac:dyDescent="0.25">
      <c r="A48" s="116" t="s">
        <v>290</v>
      </c>
      <c r="B48" s="212" t="s">
        <v>219</v>
      </c>
      <c r="C48" s="256"/>
      <c r="D48" s="213"/>
      <c r="E48" s="213"/>
      <c r="F48" s="213"/>
      <c r="G48" s="213"/>
      <c r="H48" s="213"/>
      <c r="I48" s="213"/>
      <c r="J48" s="213"/>
      <c r="K48" s="213"/>
      <c r="L48" s="213"/>
    </row>
    <row r="49" spans="1:16" ht="15" customHeight="1" x14ac:dyDescent="0.25">
      <c r="A49" s="116" t="s">
        <v>290</v>
      </c>
      <c r="B49" s="257" t="s">
        <v>80</v>
      </c>
      <c r="C49" s="258"/>
      <c r="D49" s="214"/>
      <c r="E49" s="214"/>
      <c r="F49" s="214"/>
      <c r="G49" s="214"/>
      <c r="H49" s="214"/>
      <c r="I49" s="214"/>
      <c r="J49" s="214"/>
      <c r="K49" s="214"/>
      <c r="L49" s="214"/>
    </row>
    <row r="50" spans="1:16" ht="15" customHeight="1" x14ac:dyDescent="0.25">
      <c r="A50" s="116" t="s">
        <v>290</v>
      </c>
      <c r="B50" s="206" t="s">
        <v>291</v>
      </c>
      <c r="C50" s="213"/>
      <c r="D50" s="213"/>
      <c r="E50" s="213"/>
      <c r="F50" s="213"/>
      <c r="G50" s="213"/>
      <c r="H50" s="213"/>
      <c r="I50" s="213"/>
      <c r="J50" s="213"/>
      <c r="K50" s="213"/>
      <c r="L50" s="213"/>
    </row>
    <row r="51" spans="1:16" ht="15" customHeight="1" x14ac:dyDescent="0.25">
      <c r="A51" s="116" t="s">
        <v>290</v>
      </c>
      <c r="B51" s="209" t="s">
        <v>345</v>
      </c>
      <c r="C51" s="214"/>
      <c r="D51" s="214"/>
      <c r="E51" s="214"/>
      <c r="F51" s="214"/>
      <c r="G51" s="214"/>
      <c r="H51" s="214"/>
      <c r="I51" s="214"/>
      <c r="J51" s="214"/>
      <c r="K51" s="214"/>
      <c r="L51" s="214"/>
    </row>
    <row r="52" spans="1:16" ht="15" customHeight="1" x14ac:dyDescent="0.3">
      <c r="A52" s="116" t="s">
        <v>290</v>
      </c>
      <c r="B52" s="206" t="s">
        <v>346</v>
      </c>
      <c r="C52" s="213"/>
      <c r="D52" s="213"/>
      <c r="E52" s="213"/>
      <c r="F52" s="213"/>
      <c r="G52" s="213"/>
      <c r="H52" s="213"/>
      <c r="I52" s="213"/>
      <c r="J52" s="213"/>
      <c r="K52" s="213"/>
      <c r="L52" s="213"/>
      <c r="M52" s="152"/>
      <c r="N52" s="152"/>
    </row>
    <row r="53" spans="1:16" ht="15" customHeight="1" x14ac:dyDescent="0.25">
      <c r="A53" s="116" t="s">
        <v>290</v>
      </c>
      <c r="B53" s="209" t="s">
        <v>539</v>
      </c>
      <c r="C53" s="214"/>
      <c r="D53" s="214"/>
      <c r="E53" s="214"/>
      <c r="F53" s="214"/>
      <c r="G53" s="214"/>
      <c r="H53" s="214"/>
      <c r="I53" s="214"/>
      <c r="J53" s="214"/>
      <c r="K53" s="214"/>
      <c r="L53" s="214"/>
    </row>
    <row r="54" spans="1:16" ht="15" customHeight="1" x14ac:dyDescent="0.25">
      <c r="A54" s="116" t="s">
        <v>290</v>
      </c>
      <c r="B54" s="206" t="s">
        <v>540</v>
      </c>
      <c r="C54" s="213"/>
      <c r="D54" s="213"/>
      <c r="E54" s="213"/>
      <c r="F54" s="213"/>
      <c r="G54" s="213"/>
      <c r="H54" s="213"/>
      <c r="I54" s="213"/>
      <c r="J54" s="213"/>
      <c r="K54" s="213"/>
      <c r="L54" s="213"/>
    </row>
    <row r="55" spans="1:16" ht="15" customHeight="1" x14ac:dyDescent="0.3">
      <c r="A55" s="116" t="s">
        <v>290</v>
      </c>
      <c r="B55" s="209" t="s">
        <v>347</v>
      </c>
      <c r="C55" s="214"/>
      <c r="D55" s="214"/>
      <c r="E55" s="214"/>
      <c r="F55" s="214"/>
      <c r="G55" s="214"/>
      <c r="H55" s="214"/>
      <c r="I55" s="214"/>
      <c r="J55" s="214"/>
      <c r="K55" s="214"/>
      <c r="L55" s="214"/>
      <c r="M55" s="154"/>
    </row>
    <row r="56" spans="1:16" ht="15" customHeight="1" x14ac:dyDescent="0.25">
      <c r="A56" s="116" t="s">
        <v>290</v>
      </c>
      <c r="B56" s="206" t="s">
        <v>348</v>
      </c>
      <c r="C56" s="207"/>
      <c r="D56" s="208"/>
      <c r="E56" s="208"/>
      <c r="F56" s="208"/>
      <c r="G56" s="208"/>
      <c r="H56" s="208"/>
      <c r="I56" s="208"/>
      <c r="J56" s="208"/>
      <c r="K56" s="208"/>
      <c r="L56" s="208"/>
    </row>
    <row r="57" spans="1:16" ht="15" customHeight="1" x14ac:dyDescent="0.25">
      <c r="A57" s="116" t="s">
        <v>290</v>
      </c>
      <c r="B57" s="209" t="s">
        <v>517</v>
      </c>
      <c r="C57" s="210"/>
      <c r="D57" s="210"/>
      <c r="E57" s="210"/>
      <c r="F57" s="210"/>
      <c r="G57" s="210"/>
      <c r="H57" s="210"/>
      <c r="I57" s="210"/>
      <c r="J57" s="210"/>
      <c r="K57" s="210"/>
      <c r="L57" s="210"/>
    </row>
    <row r="58" spans="1:16" ht="15" customHeight="1" x14ac:dyDescent="0.25">
      <c r="A58" s="116" t="s">
        <v>290</v>
      </c>
      <c r="B58" s="206" t="s">
        <v>518</v>
      </c>
      <c r="C58" s="208"/>
      <c r="D58" s="208"/>
      <c r="E58" s="208"/>
      <c r="F58" s="208"/>
      <c r="G58" s="208"/>
      <c r="H58" s="208"/>
      <c r="I58" s="208"/>
      <c r="J58" s="208"/>
      <c r="K58" s="208"/>
      <c r="L58" s="208"/>
    </row>
    <row r="59" spans="1:16" ht="15" customHeight="1" thickBot="1" x14ac:dyDescent="0.3">
      <c r="A59" s="306" t="s">
        <v>306</v>
      </c>
      <c r="B59" s="306"/>
      <c r="C59" s="306"/>
      <c r="D59" s="306"/>
      <c r="E59" s="306"/>
      <c r="F59" s="306"/>
      <c r="G59" s="306"/>
      <c r="H59" s="306"/>
      <c r="I59" s="306"/>
      <c r="J59" s="306"/>
      <c r="K59" s="306"/>
      <c r="L59" s="306"/>
    </row>
    <row r="60" spans="1:16" ht="15" customHeight="1" thickTop="1" thickBot="1" x14ac:dyDescent="0.3">
      <c r="A60" s="306"/>
      <c r="B60" s="306"/>
      <c r="C60" s="306"/>
      <c r="D60" s="306"/>
      <c r="E60" s="306"/>
      <c r="F60" s="306"/>
      <c r="G60" s="306"/>
      <c r="H60" s="306"/>
      <c r="I60" s="306"/>
      <c r="J60" s="306"/>
      <c r="K60" s="306"/>
      <c r="L60" s="306"/>
    </row>
    <row r="61" spans="1:16" ht="15" customHeight="1" thickTop="1" x14ac:dyDescent="0.25">
      <c r="A61" s="147"/>
      <c r="B61" s="147"/>
      <c r="C61" s="147"/>
      <c r="D61" s="147"/>
      <c r="E61" s="147"/>
      <c r="F61" s="147"/>
      <c r="G61" s="147"/>
      <c r="H61" s="147"/>
      <c r="I61" s="147"/>
      <c r="J61" s="147"/>
      <c r="K61" s="147"/>
      <c r="L61" s="147"/>
    </row>
    <row r="62" spans="1:16" ht="15" customHeight="1" x14ac:dyDescent="0.3">
      <c r="A62" s="283" t="s">
        <v>502</v>
      </c>
      <c r="B62" s="283"/>
      <c r="C62" s="288" t="s">
        <v>503</v>
      </c>
      <c r="D62" s="288"/>
      <c r="E62" s="288"/>
      <c r="F62" s="288"/>
      <c r="G62" s="288" t="s">
        <v>504</v>
      </c>
      <c r="H62" s="288"/>
      <c r="I62" s="288"/>
      <c r="J62" s="153"/>
      <c r="M62" s="154"/>
      <c r="N62" s="154"/>
      <c r="O62" s="154"/>
      <c r="P62" s="154"/>
    </row>
    <row r="63" spans="1:16" s="147" customFormat="1" ht="15" customHeight="1" x14ac:dyDescent="0.3">
      <c r="A63" s="283"/>
      <c r="B63" s="283"/>
      <c r="C63" s="288"/>
      <c r="D63" s="288"/>
      <c r="E63" s="288"/>
      <c r="F63" s="288"/>
      <c r="G63" s="288"/>
      <c r="H63" s="288"/>
      <c r="I63" s="288"/>
      <c r="J63" s="153"/>
      <c r="L63" s="154"/>
      <c r="M63" s="154"/>
      <c r="N63" s="154"/>
      <c r="O63" s="154"/>
      <c r="P63" s="154"/>
    </row>
    <row r="64" spans="1:16" ht="30" customHeight="1" x14ac:dyDescent="0.3">
      <c r="A64" s="283"/>
      <c r="B64" s="283"/>
      <c r="C64" s="289" t="s">
        <v>533</v>
      </c>
      <c r="D64" s="289"/>
      <c r="E64" s="289"/>
      <c r="F64" s="229" t="s">
        <v>534</v>
      </c>
      <c r="G64" s="289" t="s">
        <v>535</v>
      </c>
      <c r="H64" s="289"/>
      <c r="I64" s="289"/>
      <c r="J64" s="84"/>
      <c r="K64" s="154"/>
      <c r="L64" s="154"/>
      <c r="M64" s="154"/>
      <c r="N64" s="154"/>
      <c r="O64" s="154"/>
      <c r="P64" s="147"/>
    </row>
    <row r="65" spans="1:18" ht="15" customHeight="1" x14ac:dyDescent="0.25">
      <c r="A65" s="266" t="s">
        <v>290</v>
      </c>
      <c r="B65" s="259" t="s">
        <v>509</v>
      </c>
      <c r="C65" s="231" t="s">
        <v>497</v>
      </c>
      <c r="D65" s="231" t="s">
        <v>498</v>
      </c>
      <c r="E65" s="231" t="s">
        <v>513</v>
      </c>
      <c r="F65" s="231" t="s">
        <v>523</v>
      </c>
      <c r="G65" s="231" t="s">
        <v>497</v>
      </c>
      <c r="H65" s="231" t="s">
        <v>544</v>
      </c>
      <c r="I65" s="231" t="s">
        <v>513</v>
      </c>
      <c r="J65" s="147"/>
      <c r="K65" s="147"/>
      <c r="L65" s="147"/>
      <c r="M65" s="147"/>
      <c r="N65" s="147"/>
      <c r="O65" s="147"/>
      <c r="P65" s="147"/>
    </row>
    <row r="66" spans="1:18" s="147" customFormat="1" ht="15" customHeight="1" x14ac:dyDescent="0.25">
      <c r="A66" s="266"/>
      <c r="B66" s="230" t="s">
        <v>532</v>
      </c>
      <c r="C66" s="232" t="str">
        <f t="shared" ref="C66:I66" si="0">IFERROR(C67/dftcost, "-")</f>
        <v>-</v>
      </c>
      <c r="D66" s="232" t="str">
        <f t="shared" si="0"/>
        <v>-</v>
      </c>
      <c r="E66" s="232" t="str">
        <f t="shared" si="0"/>
        <v>-</v>
      </c>
      <c r="F66" s="232" t="str">
        <f t="shared" si="0"/>
        <v>-</v>
      </c>
      <c r="G66" s="232" t="str">
        <f t="shared" si="0"/>
        <v>-</v>
      </c>
      <c r="H66" s="232" t="str">
        <f t="shared" si="0"/>
        <v>-</v>
      </c>
      <c r="I66" s="232" t="str">
        <f t="shared" si="0"/>
        <v>-</v>
      </c>
    </row>
    <row r="67" spans="1:18" ht="15" customHeight="1" x14ac:dyDescent="0.25">
      <c r="A67" s="266"/>
      <c r="B67" s="233" t="s">
        <v>530</v>
      </c>
      <c r="C67" s="198" t="str">
        <f>IF(T171=0,"-",T171)</f>
        <v>-</v>
      </c>
      <c r="D67" s="198" t="str">
        <f>IF(T169=0,"-",T169)</f>
        <v>-</v>
      </c>
      <c r="E67" s="198" t="str">
        <f>IF(specpow&lt;=0,"-",U169)</f>
        <v>-</v>
      </c>
      <c r="F67" s="198" t="str">
        <f>IF(U172 &lt;=0, "-", U172)</f>
        <v>-</v>
      </c>
      <c r="G67" s="198" t="str">
        <f>IF(ISERROR(C67-F67),"-",C67-F67)</f>
        <v>-</v>
      </c>
      <c r="H67" s="198" t="str">
        <f>IF(ISERROR(D67-F67),"-",D67-F67)</f>
        <v>-</v>
      </c>
      <c r="I67" s="198" t="str">
        <f>IF(ISERROR(E67-F67),"-",E67-F67)</f>
        <v>-</v>
      </c>
      <c r="J67" s="147"/>
      <c r="K67" s="147"/>
      <c r="L67" s="147"/>
      <c r="M67" s="147"/>
      <c r="N67" s="147"/>
      <c r="O67" s="147"/>
      <c r="P67" s="147"/>
    </row>
    <row r="68" spans="1:18" ht="18" customHeight="1" x14ac:dyDescent="0.25">
      <c r="A68" s="116" t="s">
        <v>290</v>
      </c>
      <c r="B68" s="204" t="s">
        <v>531</v>
      </c>
      <c r="C68" s="234" t="str">
        <f>IF(T173&lt;=0,"-",T173)</f>
        <v>-</v>
      </c>
      <c r="D68" s="234" t="str">
        <f>IF(T173&lt;=0,"-",T173)</f>
        <v>-</v>
      </c>
      <c r="E68" s="234" t="str">
        <f>IF(specpow&lt;=0,"-",U173)</f>
        <v>-</v>
      </c>
      <c r="F68" s="234" t="str">
        <f>IF(U174 &lt;= 0, "-", U174)</f>
        <v>-</v>
      </c>
      <c r="G68" s="234" t="str">
        <f>IF(ISERROR(C68-F68),"-",C68-F68)</f>
        <v>-</v>
      </c>
      <c r="H68" s="234" t="str">
        <f>IF(ISERROR(D68-F68),"-",D68-F68)</f>
        <v>-</v>
      </c>
      <c r="I68" s="234" t="str">
        <f>IF(ISERROR(E68-F68),"-",E68-F68)</f>
        <v>-</v>
      </c>
      <c r="J68" s="147"/>
      <c r="K68" s="147"/>
      <c r="L68" s="147"/>
      <c r="M68" s="147"/>
      <c r="N68" s="147"/>
      <c r="O68" s="147"/>
      <c r="P68" s="147"/>
    </row>
    <row r="69" spans="1:18" ht="18.75" customHeight="1" x14ac:dyDescent="0.25">
      <c r="A69" s="116" t="s">
        <v>290</v>
      </c>
      <c r="B69" s="235" t="s">
        <v>506</v>
      </c>
      <c r="C69" s="236" t="str">
        <f>IF(ISERROR(C67+C68),"-",C67+C68)</f>
        <v>-</v>
      </c>
      <c r="D69" s="236" t="str">
        <f>IF(ISERROR(D67+D68),"-",D67+D68)</f>
        <v>-</v>
      </c>
      <c r="E69" s="236" t="str">
        <f>IF(ISERROR(E67+E68),"-",E67+E68)</f>
        <v>-</v>
      </c>
      <c r="F69" s="236" t="str">
        <f>IF(ISERROR(F67+F68),"-",F67+F68)</f>
        <v>-</v>
      </c>
      <c r="G69" s="236" t="str">
        <f>IF(T178=0,"-",T178)</f>
        <v>-</v>
      </c>
      <c r="H69" s="236" t="str">
        <f>IF(T176=0,"-",T176)</f>
        <v>-</v>
      </c>
      <c r="I69" s="236" t="str">
        <f>IF(U176="N/A","-",IF(U176="Loss","Loss",U176))</f>
        <v>-</v>
      </c>
      <c r="J69" s="147"/>
      <c r="K69" s="147"/>
      <c r="L69" s="147"/>
      <c r="M69" s="147"/>
      <c r="N69" s="147"/>
      <c r="O69" s="147"/>
      <c r="P69" s="147"/>
    </row>
    <row r="70" spans="1:18" ht="15" customHeight="1" x14ac:dyDescent="0.25">
      <c r="A70" s="147"/>
      <c r="B70" s="147"/>
      <c r="C70" s="147"/>
      <c r="D70" s="147"/>
      <c r="E70" s="147"/>
      <c r="F70" s="147"/>
      <c r="G70" s="147"/>
      <c r="H70" s="147"/>
      <c r="I70" s="147"/>
      <c r="J70" s="147"/>
      <c r="K70" s="147"/>
      <c r="L70" s="147"/>
      <c r="M70" s="147"/>
      <c r="N70" s="147"/>
      <c r="O70" s="147"/>
      <c r="P70" s="147"/>
    </row>
    <row r="71" spans="1:18" ht="15" customHeight="1" x14ac:dyDescent="0.25">
      <c r="A71" s="147"/>
      <c r="B71" s="147"/>
      <c r="C71" s="147"/>
      <c r="D71" s="147"/>
      <c r="E71" s="147"/>
      <c r="F71" s="147"/>
      <c r="G71" s="147"/>
      <c r="H71" s="147"/>
      <c r="I71" s="147"/>
      <c r="J71" s="147"/>
      <c r="K71" s="147"/>
      <c r="L71" s="147"/>
      <c r="M71" s="147"/>
      <c r="N71" s="147"/>
      <c r="O71" s="147"/>
      <c r="P71" s="147"/>
    </row>
    <row r="72" spans="1:18" ht="15" customHeight="1" x14ac:dyDescent="0.3">
      <c r="A72" s="283" t="s">
        <v>308</v>
      </c>
      <c r="B72" s="283"/>
      <c r="C72" s="283"/>
      <c r="D72" s="283"/>
      <c r="E72" s="283"/>
      <c r="F72" s="153"/>
      <c r="H72" s="292" t="s">
        <v>309</v>
      </c>
      <c r="I72" s="292"/>
      <c r="J72" s="292"/>
      <c r="K72" s="292"/>
      <c r="L72" s="292"/>
      <c r="M72" s="147"/>
      <c r="N72" s="147"/>
      <c r="O72" s="147"/>
      <c r="P72" s="147"/>
    </row>
    <row r="73" spans="1:18" ht="15" customHeight="1" thickBot="1" x14ac:dyDescent="0.3">
      <c r="A73" s="283"/>
      <c r="B73" s="283"/>
      <c r="C73" s="283"/>
      <c r="D73" s="283"/>
      <c r="E73" s="283"/>
      <c r="F73" s="147"/>
      <c r="G73" s="151"/>
      <c r="H73" s="270"/>
      <c r="I73" s="270"/>
      <c r="J73" s="270"/>
      <c r="K73" s="270"/>
      <c r="L73" s="270"/>
      <c r="M73" s="147"/>
      <c r="N73" s="147"/>
      <c r="O73" s="147"/>
      <c r="P73" s="147"/>
    </row>
    <row r="74" spans="1:18" ht="15" customHeight="1" thickTop="1" x14ac:dyDescent="0.25">
      <c r="A74" s="266" t="s">
        <v>290</v>
      </c>
      <c r="B74" s="237" t="s">
        <v>509</v>
      </c>
      <c r="C74" s="231" t="s">
        <v>497</v>
      </c>
      <c r="D74" s="231" t="s">
        <v>498</v>
      </c>
      <c r="E74" s="231" t="s">
        <v>513</v>
      </c>
      <c r="F74" s="147"/>
      <c r="G74" s="147"/>
      <c r="H74" s="147"/>
      <c r="I74" s="147"/>
      <c r="J74" s="147"/>
      <c r="K74" s="147"/>
      <c r="L74" s="147"/>
      <c r="M74" s="147"/>
      <c r="N74" s="147"/>
      <c r="O74" s="147"/>
      <c r="P74" s="147"/>
    </row>
    <row r="75" spans="1:18" ht="15" customHeight="1" x14ac:dyDescent="0.25">
      <c r="A75" s="266"/>
      <c r="B75" s="233" t="s">
        <v>107</v>
      </c>
      <c r="C75" s="171" t="str">
        <f>G69</f>
        <v>-</v>
      </c>
      <c r="D75" s="171" t="str">
        <f>H69</f>
        <v>-</v>
      </c>
      <c r="E75" s="171" t="str">
        <f>I69</f>
        <v>-</v>
      </c>
      <c r="F75" s="147"/>
      <c r="G75" s="147"/>
      <c r="H75" s="147"/>
      <c r="I75" s="147"/>
      <c r="J75" s="147"/>
      <c r="K75" s="147"/>
      <c r="L75" s="147"/>
      <c r="M75" s="147"/>
      <c r="N75" s="147"/>
      <c r="O75" s="147"/>
      <c r="P75" s="147"/>
    </row>
    <row r="76" spans="1:18" ht="30" customHeight="1" x14ac:dyDescent="0.25">
      <c r="A76" s="116" t="s">
        <v>290</v>
      </c>
      <c r="B76" s="204" t="s">
        <v>507</v>
      </c>
      <c r="C76" s="238" t="str">
        <f>IF(U175=0,"-",U175)</f>
        <v>-</v>
      </c>
      <c r="D76" s="238" t="str">
        <f>IF(U175=0,"-",U175)</f>
        <v>-</v>
      </c>
      <c r="E76" s="238" t="str">
        <f>IF(specpow&lt;=0,"-",U175)</f>
        <v>-</v>
      </c>
      <c r="F76" s="147"/>
      <c r="G76" s="147"/>
      <c r="H76" s="147"/>
      <c r="I76" s="147"/>
      <c r="J76" s="147"/>
      <c r="K76" s="147"/>
      <c r="L76" s="147"/>
      <c r="M76" s="147"/>
      <c r="N76" s="147"/>
      <c r="O76" s="147"/>
      <c r="P76" s="147"/>
    </row>
    <row r="77" spans="1:18" ht="37.5" customHeight="1" x14ac:dyDescent="0.25">
      <c r="A77" s="116" t="s">
        <v>290</v>
      </c>
      <c r="B77" s="235" t="s">
        <v>508</v>
      </c>
      <c r="C77" s="239" t="e">
        <f>12* C76/C75</f>
        <v>#VALUE!</v>
      </c>
      <c r="D77" s="239" t="e">
        <f t="shared" ref="D77" si="1">12* D76/D75</f>
        <v>#VALUE!</v>
      </c>
      <c r="E77" s="239" t="str">
        <f>IFERROR(12* E76/E75, "-")</f>
        <v>-</v>
      </c>
      <c r="F77" s="147"/>
      <c r="G77" s="147"/>
      <c r="H77" s="147"/>
      <c r="I77" s="147"/>
      <c r="J77" s="147"/>
      <c r="K77" s="147"/>
      <c r="L77" s="147"/>
      <c r="M77" s="147"/>
      <c r="N77" s="147"/>
      <c r="O77" s="147"/>
      <c r="P77" s="147"/>
      <c r="R77" s="147"/>
    </row>
    <row r="78" spans="1:18" s="147" customFormat="1" ht="15" customHeight="1" x14ac:dyDescent="0.25"/>
    <row r="79" spans="1:18" ht="15" customHeight="1" x14ac:dyDescent="0.25">
      <c r="A79" s="147"/>
      <c r="B79" s="147"/>
      <c r="C79" s="147"/>
      <c r="D79" s="147"/>
      <c r="E79" s="147"/>
      <c r="F79" s="147"/>
      <c r="G79" s="147"/>
      <c r="H79" s="147"/>
      <c r="I79" s="147"/>
      <c r="J79" s="147"/>
      <c r="K79" s="147"/>
      <c r="L79" s="147"/>
      <c r="M79" s="147"/>
      <c r="N79" s="147"/>
      <c r="O79" s="147"/>
      <c r="P79" s="147"/>
    </row>
    <row r="80" spans="1:18" ht="15" customHeight="1" x14ac:dyDescent="0.3">
      <c r="A80" s="261" t="s">
        <v>463</v>
      </c>
      <c r="B80" s="261"/>
      <c r="C80" s="261"/>
      <c r="D80" s="261"/>
      <c r="E80" s="261"/>
      <c r="F80" s="154"/>
      <c r="G80" s="154"/>
      <c r="H80" s="154"/>
      <c r="I80" s="154"/>
      <c r="J80" s="154"/>
      <c r="K80" s="147"/>
      <c r="L80" s="147"/>
      <c r="M80" s="147"/>
      <c r="N80" s="147"/>
      <c r="O80" s="147"/>
      <c r="P80" s="147"/>
    </row>
    <row r="81" spans="1:18" ht="15" customHeight="1" x14ac:dyDescent="0.25">
      <c r="A81" s="261"/>
      <c r="B81" s="261"/>
      <c r="C81" s="261"/>
      <c r="D81" s="261"/>
      <c r="E81" s="261"/>
      <c r="F81" s="147"/>
      <c r="G81" s="147"/>
      <c r="H81" s="147"/>
      <c r="I81" s="147"/>
      <c r="J81" s="147"/>
      <c r="K81" s="147"/>
      <c r="L81" s="147"/>
      <c r="M81" s="147"/>
      <c r="N81" s="147"/>
      <c r="O81" s="147"/>
      <c r="P81" s="147"/>
    </row>
    <row r="82" spans="1:18" ht="15.75" customHeight="1" x14ac:dyDescent="0.25">
      <c r="A82" s="266" t="s">
        <v>290</v>
      </c>
      <c r="B82" s="240" t="s">
        <v>499</v>
      </c>
      <c r="C82" s="231" t="s">
        <v>500</v>
      </c>
      <c r="D82" s="231" t="s">
        <v>481</v>
      </c>
      <c r="E82" s="231" t="s">
        <v>482</v>
      </c>
      <c r="F82" s="147"/>
      <c r="G82" s="147"/>
      <c r="H82" s="147"/>
      <c r="I82" s="147"/>
      <c r="J82" s="147"/>
      <c r="K82" s="147"/>
      <c r="L82" s="147"/>
      <c r="M82" s="147"/>
      <c r="N82" s="147"/>
      <c r="O82" s="147"/>
      <c r="P82" s="147"/>
    </row>
    <row r="83" spans="1:18" ht="15.75" customHeight="1" x14ac:dyDescent="0.25">
      <c r="A83" s="266"/>
      <c r="B83" s="327" t="s">
        <v>510</v>
      </c>
      <c r="C83" s="293" t="str">
        <f>IF((0.000703)*T171/dftcost=0,"-",(0.000703)*T171/dftcost)</f>
        <v>-</v>
      </c>
      <c r="D83" s="293" t="str">
        <f>IF((0.000703)*T169/dftcost=0,"-",(0.000703)*T169/dftcost)</f>
        <v>-</v>
      </c>
      <c r="E83" s="293" t="str">
        <f>IF(specpow&lt;=0,"-",(0.000703)*U170/dftcost)</f>
        <v>-</v>
      </c>
      <c r="F83" s="147"/>
      <c r="G83" s="147"/>
      <c r="H83" s="147"/>
      <c r="I83" s="147"/>
      <c r="J83" s="147"/>
      <c r="K83" s="147"/>
      <c r="L83" s="147"/>
      <c r="M83" s="147"/>
      <c r="N83" s="147"/>
      <c r="O83" s="147"/>
      <c r="P83" s="147"/>
    </row>
    <row r="84" spans="1:18" s="147" customFormat="1" ht="15.75" customHeight="1" x14ac:dyDescent="0.25">
      <c r="A84" s="266"/>
      <c r="B84" s="327"/>
      <c r="C84" s="293"/>
      <c r="D84" s="293"/>
      <c r="E84" s="293"/>
    </row>
    <row r="85" spans="1:18" ht="15.75" customHeight="1" x14ac:dyDescent="0.3">
      <c r="A85" s="266" t="s">
        <v>290</v>
      </c>
      <c r="B85" s="282" t="s">
        <v>511</v>
      </c>
      <c r="C85" s="294" t="str">
        <f>IF((0.000703)*T172/dftcost=0,"-",(0.000703)*T172/dftcost)</f>
        <v>-</v>
      </c>
      <c r="D85" s="294" t="str">
        <f>IF((0.000703)*T172/dftcost=0,"-",(0.000703)*T172/dftcost)</f>
        <v>-</v>
      </c>
      <c r="E85" s="294" t="str">
        <f>IF(specpow&lt;=0,"-",(0.000703)*U172/dftcost)</f>
        <v>-</v>
      </c>
      <c r="F85" s="147"/>
      <c r="G85" s="147"/>
      <c r="H85" s="147"/>
      <c r="I85" s="147"/>
      <c r="J85" s="147"/>
      <c r="M85" s="153"/>
      <c r="N85" s="153"/>
      <c r="O85" s="153"/>
      <c r="P85" s="147"/>
      <c r="R85" s="147"/>
    </row>
    <row r="86" spans="1:18" s="147" customFormat="1" ht="15.75" customHeight="1" x14ac:dyDescent="0.3">
      <c r="A86" s="266"/>
      <c r="B86" s="282"/>
      <c r="C86" s="294"/>
      <c r="D86" s="294"/>
      <c r="E86" s="294"/>
      <c r="M86" s="153"/>
      <c r="N86" s="153"/>
      <c r="O86" s="153"/>
    </row>
    <row r="87" spans="1:18" ht="15.75" customHeight="1" x14ac:dyDescent="0.3">
      <c r="A87" s="266" t="s">
        <v>290</v>
      </c>
      <c r="B87" s="327" t="s">
        <v>512</v>
      </c>
      <c r="C87" s="330" t="str">
        <f>IF((0.000703)*((T171/dftcost)-(T172/dftcost))=0,"-",(0.000703)*((T171/dftcost)-(T172/dftcost)))</f>
        <v>-</v>
      </c>
      <c r="D87" s="330" t="str">
        <f>IF((0.000703)*((T169/dftcost)-(T172/dftcost))=0,"-",(0.000703)*((T169/dftcost)-(T172/dftcost)))</f>
        <v>-</v>
      </c>
      <c r="E87" s="330" t="str">
        <f>IF(specpow&lt;=0,"-",(0.000703)*((U170/dftcost)-(U172/dftcost)))</f>
        <v>-</v>
      </c>
      <c r="F87" s="147"/>
      <c r="G87" s="147"/>
      <c r="H87" s="147"/>
      <c r="I87" s="147"/>
      <c r="J87" s="147"/>
      <c r="M87" s="153"/>
      <c r="N87" s="153"/>
      <c r="O87" s="153"/>
      <c r="P87" s="147"/>
    </row>
    <row r="88" spans="1:18" s="147" customFormat="1" ht="15.75" customHeight="1" x14ac:dyDescent="0.3">
      <c r="A88" s="266"/>
      <c r="B88" s="327"/>
      <c r="C88" s="330"/>
      <c r="D88" s="330"/>
      <c r="E88" s="330"/>
      <c r="M88" s="153"/>
      <c r="N88" s="153"/>
      <c r="O88" s="153"/>
    </row>
    <row r="89" spans="1:18" ht="15" customHeight="1" x14ac:dyDescent="0.25">
      <c r="A89" s="147"/>
      <c r="B89" s="147"/>
      <c r="C89" s="147"/>
      <c r="D89" s="147"/>
      <c r="E89" s="147"/>
      <c r="F89" s="147"/>
      <c r="G89" s="147"/>
      <c r="H89" s="147"/>
      <c r="I89" s="147"/>
      <c r="J89" s="147"/>
      <c r="M89" s="78"/>
      <c r="N89" s="78"/>
      <c r="O89" s="78"/>
      <c r="P89" s="147"/>
    </row>
    <row r="90" spans="1:18" ht="27" customHeight="1" x14ac:dyDescent="0.25">
      <c r="A90" s="290" t="s">
        <v>290</v>
      </c>
      <c r="B90" s="157" t="e">
        <f>IF(specpow&lt;=0,ROUND(D87,1)&amp;" metric tons of CO2 emissions reduced is equivalent to the following.",ROUND(E87,1)&amp;" metric tons of CO2 emissions reduced is equivalent to the following.")</f>
        <v>#VALUE!</v>
      </c>
      <c r="C90" s="157"/>
      <c r="D90" s="157"/>
      <c r="E90" s="157"/>
      <c r="F90" s="157"/>
      <c r="G90" s="157"/>
      <c r="H90" s="157"/>
      <c r="I90" s="157"/>
      <c r="J90" s="157"/>
      <c r="K90" s="78"/>
      <c r="L90" s="78"/>
      <c r="M90" s="78"/>
      <c r="N90" s="78"/>
      <c r="O90" s="78"/>
      <c r="P90" s="147"/>
    </row>
    <row r="91" spans="1:18" x14ac:dyDescent="0.25">
      <c r="A91" s="291"/>
      <c r="B91" s="147" t="str">
        <f>IF(specpow&lt;=0,"Combusting "&amp;TEXT(T182*2.325,"0")&amp;" - "&amp;TEXT(T183*2.325,"0")&amp;" barrels of oil.","Combusting "&amp;TEXT(U182*2.325,"0")&amp;" barrels of oil.")</f>
        <v>Combusting 0 - 0 barrels of oil.</v>
      </c>
      <c r="C91" s="147"/>
      <c r="D91" s="147" t="str">
        <f>IF(specpow&lt;=0,"Burning "&amp;TEXT(T182*1067,"###,#")&amp;" - "&amp;TEXT(T183*1067,"###,#")&amp;" pounds of coal.","Burning "&amp;TEXT(U182*1067,"###,#")&amp;" pounds of coal.")</f>
        <v>Burning  -  pounds of coal.</v>
      </c>
      <c r="E91" s="147"/>
      <c r="F91" s="147"/>
      <c r="G91" s="147"/>
      <c r="H91" s="147"/>
      <c r="I91" s="147"/>
      <c r="J91" s="147"/>
      <c r="K91" s="78"/>
      <c r="L91" s="78"/>
      <c r="M91" s="78"/>
      <c r="N91" s="78"/>
      <c r="O91" s="78"/>
      <c r="P91" s="147"/>
    </row>
    <row r="92" spans="1:18" x14ac:dyDescent="0.25">
      <c r="A92" s="291"/>
      <c r="B92" s="147"/>
      <c r="C92" s="147"/>
      <c r="D92" s="147"/>
      <c r="E92" s="147"/>
      <c r="F92" s="147"/>
      <c r="G92" s="147"/>
      <c r="H92" s="147"/>
      <c r="I92" s="147"/>
      <c r="J92" s="147"/>
      <c r="K92" s="78"/>
      <c r="L92" s="78"/>
      <c r="M92" s="78"/>
      <c r="N92" s="78"/>
      <c r="O92" s="78"/>
      <c r="P92" s="147"/>
    </row>
    <row r="93" spans="1:18" ht="17.25" customHeight="1" x14ac:dyDescent="0.25">
      <c r="A93" s="291"/>
      <c r="B93" s="147"/>
      <c r="C93" s="147"/>
      <c r="D93" s="147"/>
      <c r="E93" s="147"/>
      <c r="H93" s="328" t="s">
        <v>483</v>
      </c>
      <c r="I93" s="328"/>
      <c r="J93" s="328"/>
      <c r="K93" s="328"/>
      <c r="L93" s="328"/>
      <c r="M93" s="78"/>
      <c r="N93" s="78"/>
      <c r="O93" s="78"/>
      <c r="P93" s="147"/>
    </row>
    <row r="94" spans="1:18" ht="24.75" customHeight="1" x14ac:dyDescent="0.3">
      <c r="A94" s="291"/>
      <c r="B94" s="147"/>
      <c r="C94" s="147"/>
      <c r="D94" s="147"/>
      <c r="E94" s="147"/>
      <c r="G94" s="154"/>
      <c r="H94" s="328"/>
      <c r="I94" s="328"/>
      <c r="J94" s="328"/>
      <c r="K94" s="328"/>
      <c r="L94" s="328"/>
      <c r="M94" s="78"/>
      <c r="N94" s="78"/>
      <c r="O94" s="78"/>
      <c r="P94" s="147"/>
    </row>
    <row r="95" spans="1:18" ht="17.25" customHeight="1" x14ac:dyDescent="0.3">
      <c r="A95" s="147"/>
      <c r="B95" s="147"/>
      <c r="C95" s="147"/>
      <c r="D95" s="147"/>
      <c r="E95" s="147"/>
      <c r="F95" s="153"/>
      <c r="G95" s="147"/>
      <c r="H95" s="329" t="e">
        <f>IF(specpow&gt;0,CONCATENATE("If you replace all of the tools you have entered in above it will take an estimated ",ROUND(E77,1)," months to recover your initial investment of $",ROUND(E76,1)," to get the new electric-driven power tools. For every year after your money is recovered, you will save an estimated $",ROUND(I69,1),". For more information on"," the different aspects between pneumatic and electric besides cost, such as performance, refer"," to the power tool transition guide at (insert website or how to find this guide here)."),CONCATENATE("If you replace all of the tools you have entered in above it will take an estimated ",ROUND(D77,1)," months to recover your initial investment of $",ROUND(D76,1)," to get the new electric-driven power tools. For every year after your money is recovered, you will save an estimated $",ROUND(D69,1),". For more information on"," the different aspects between pneumatic and electric besides cost, such as performance, refer"," to the power tool transition guide at (insert website or how to find this guide here)."))</f>
        <v>#VALUE!</v>
      </c>
      <c r="I95" s="329"/>
      <c r="J95" s="329"/>
      <c r="K95" s="329"/>
      <c r="L95" s="329"/>
      <c r="M95" s="78"/>
      <c r="N95" s="78"/>
      <c r="O95" s="78"/>
      <c r="P95" s="147"/>
    </row>
    <row r="96" spans="1:18" ht="15" customHeight="1" x14ac:dyDescent="0.25">
      <c r="A96" s="147"/>
      <c r="B96" s="147"/>
      <c r="C96" s="147"/>
      <c r="D96" s="147"/>
      <c r="E96" s="147"/>
      <c r="H96" s="329"/>
      <c r="I96" s="329"/>
      <c r="J96" s="329"/>
      <c r="K96" s="329"/>
      <c r="L96" s="329"/>
      <c r="M96" s="78"/>
      <c r="N96" s="78"/>
      <c r="O96" s="78"/>
      <c r="P96" s="147"/>
    </row>
    <row r="97" spans="1:29" x14ac:dyDescent="0.25">
      <c r="A97" s="147"/>
      <c r="B97" s="147"/>
      <c r="C97" s="147"/>
      <c r="D97" s="147"/>
      <c r="E97" s="147"/>
      <c r="F97" s="147"/>
      <c r="G97" s="78"/>
      <c r="H97" s="329"/>
      <c r="I97" s="329"/>
      <c r="J97" s="329"/>
      <c r="K97" s="329"/>
      <c r="L97" s="329"/>
      <c r="M97" s="78"/>
      <c r="N97" s="78"/>
      <c r="O97" s="78"/>
      <c r="P97" s="147"/>
    </row>
    <row r="98" spans="1:29" x14ac:dyDescent="0.25">
      <c r="A98" s="147"/>
      <c r="B98" s="147"/>
      <c r="C98" s="147"/>
      <c r="D98" s="147"/>
      <c r="E98" s="147"/>
      <c r="F98" s="147"/>
      <c r="G98" s="78"/>
      <c r="H98" s="329"/>
      <c r="I98" s="329"/>
      <c r="J98" s="329"/>
      <c r="K98" s="329"/>
      <c r="L98" s="329"/>
    </row>
    <row r="99" spans="1:29" x14ac:dyDescent="0.25">
      <c r="A99" s="147"/>
      <c r="B99" s="147"/>
      <c r="C99" s="147"/>
      <c r="D99" s="147"/>
      <c r="E99" s="147"/>
      <c r="F99" s="147"/>
      <c r="G99" s="78"/>
      <c r="H99" s="329"/>
      <c r="I99" s="329"/>
      <c r="J99" s="329"/>
      <c r="K99" s="329"/>
      <c r="L99" s="329"/>
    </row>
    <row r="100" spans="1:29" hidden="1" x14ac:dyDescent="0.25">
      <c r="B100" s="147"/>
      <c r="C100" s="147"/>
      <c r="D100" s="147"/>
      <c r="E100" s="147"/>
      <c r="F100" s="147"/>
      <c r="G100" s="78"/>
      <c r="H100" s="329"/>
      <c r="I100" s="329"/>
      <c r="J100" s="329"/>
      <c r="K100" s="329"/>
      <c r="L100" s="329"/>
    </row>
    <row r="101" spans="1:29" hidden="1" x14ac:dyDescent="0.25">
      <c r="O101" t="s">
        <v>522</v>
      </c>
    </row>
    <row r="102" spans="1:29" hidden="1" x14ac:dyDescent="0.25">
      <c r="B102" s="147"/>
      <c r="C102" s="147"/>
      <c r="D102" s="147"/>
      <c r="E102" s="147"/>
      <c r="F102" s="147"/>
      <c r="G102" s="147"/>
      <c r="H102" s="147"/>
      <c r="I102" s="147"/>
      <c r="J102" s="147"/>
      <c r="K102" s="147"/>
      <c r="L102" s="147"/>
      <c r="O102" s="78">
        <f>IF(COUNTBLANK(F13)=1,G13,F13)</f>
        <v>0.2</v>
      </c>
    </row>
    <row r="103" spans="1:29" hidden="1" x14ac:dyDescent="0.25">
      <c r="O103" s="205">
        <f>G15</f>
        <v>0</v>
      </c>
    </row>
    <row r="104" spans="1:29" hidden="1" x14ac:dyDescent="0.25">
      <c r="O104" s="78">
        <v>4</v>
      </c>
    </row>
    <row r="105" spans="1:29" hidden="1" x14ac:dyDescent="0.25">
      <c r="O105" s="78">
        <v>3</v>
      </c>
    </row>
    <row r="106" spans="1:29" hidden="1" x14ac:dyDescent="0.25">
      <c r="O106" s="78">
        <f>G18</f>
        <v>3</v>
      </c>
    </row>
    <row r="107" spans="1:29" hidden="1" x14ac:dyDescent="0.25">
      <c r="O107" s="78">
        <f>G19</f>
        <v>2</v>
      </c>
    </row>
    <row r="108" spans="1:29" hidden="1" x14ac:dyDescent="0.25">
      <c r="O108" s="78">
        <f>G20</f>
        <v>2</v>
      </c>
      <c r="T108" s="147"/>
    </row>
    <row r="109" spans="1:29" hidden="1" x14ac:dyDescent="0.25">
      <c r="O109" s="78">
        <f>IF(COUNTBLANK(F14)=1,G14,F14)</f>
        <v>7.0199999999999999E-2</v>
      </c>
    </row>
    <row r="110" spans="1:29" hidden="1" x14ac:dyDescent="0.25">
      <c r="S110" t="s">
        <v>469</v>
      </c>
      <c r="Y110" t="s">
        <v>493</v>
      </c>
    </row>
    <row r="111" spans="1:29" hidden="1" x14ac:dyDescent="0.25">
      <c r="X111" s="46"/>
      <c r="Y111" s="46"/>
      <c r="Z111" s="46"/>
      <c r="AA111" s="46"/>
      <c r="AB111" s="46"/>
      <c r="AC111" s="46"/>
    </row>
    <row r="112" spans="1:29" hidden="1" x14ac:dyDescent="0.25">
      <c r="T112" t="s">
        <v>350</v>
      </c>
      <c r="U112" t="s">
        <v>351</v>
      </c>
      <c r="V112" t="s">
        <v>352</v>
      </c>
      <c r="W112" t="s">
        <v>353</v>
      </c>
      <c r="X112" t="s">
        <v>354</v>
      </c>
      <c r="Y112" t="s">
        <v>355</v>
      </c>
      <c r="Z112" t="s">
        <v>356</v>
      </c>
      <c r="AA112" t="s">
        <v>357</v>
      </c>
      <c r="AB112" t="s">
        <v>358</v>
      </c>
      <c r="AC112" t="s">
        <v>359</v>
      </c>
    </row>
    <row r="113" spans="15:30" hidden="1" x14ac:dyDescent="0.25">
      <c r="S113" s="117" t="s">
        <v>224</v>
      </c>
      <c r="T113" s="117">
        <f>IF(COUNTA(comptype1)=0,0,IF(comptype1="One-Stage Rotary Screw",1,IF(comptype1="Two-Stage Rotary Screw",2,IF(comptype1="One-Stage Piston",4,IF(comptype1="Two-Stage Piston",5,IF(comptype1="Impeller/Centrifugal",6,IF(comptype1="Unsure",-1,0)))))))</f>
        <v>0</v>
      </c>
      <c r="U113" s="117">
        <f>IF(COUNTA(comptype2)=0,0,IF(comptype2="One-Stage Rotary Screw",1,IF(comptype2="Two-Stage Rotary Screw",2,IF(comptype2="One-Stage Piston",4,IF(comptype2="Two-Stage Piston",5,IF(comptype2="Impeller/Centrifugal",6,IF(comptype2="Unsure",-1,0)))))))</f>
        <v>0</v>
      </c>
      <c r="V113" s="117">
        <f>IF(COUNTA(comptype3)=0,0,IF(comptype3="One-Stage Rotary Screw",1,IF(comptype3="Two-Stage Rotary Screw",2,IF(comptype3="One-Stage Piston",4,IF(comptype3="Two-Stage Piston",5,IF(comptype3="Impeller/Centrifugal",6,IF(comptype3="Unsure",-1,0)))))))</f>
        <v>0</v>
      </c>
      <c r="W113" s="117">
        <f>IF(COUNTA(comptype4)=0,0,IF(comptype4="One-Stage Rotary Screw",1,IF(comptype4="Two-Stage Rotary Screw",2,IF(comptype4="One-Stage Piston",4,IF(comptype4="Two-Stage Piston",5,IF(comptype4="Impeller/Centrifugal",6,IF(comptype4="Unsure",-1,0)))))))</f>
        <v>0</v>
      </c>
      <c r="X113" s="117">
        <f>IF(COUNTA(comptype5)=0,0,IF(comptype5="One-Stage Rotary Screw",1,IF(comptype5="Two-Stage Rotary Screw",2,IF(comptype5="One-Stage Piston",4,IF(comptype5="Two-Stage Piston",5,IF(comptype5="Impeller/Centrifugal",6,IF(comptype5="Unsure",-1,0)))))))</f>
        <v>0</v>
      </c>
      <c r="Y113" s="117">
        <f>IF(COUNTA(comptype6)=0,0,IF(comptype6="One-Stage Rotary Screw",1,IF(comptype6="Two-Stage Rotary Screw",2,IF(comptype6="One-Stage Piston",4,IF(comptype6="Two-Stage Piston",5,IF(comptype6="Impeller/Centrifugal",6,IF(comptype6="Unsure",-1,0)))))))</f>
        <v>0</v>
      </c>
      <c r="Z113" s="117">
        <f>IF(COUNTA(comptype7)=0,0,IF(comptype7="One-Stage Rotary Screw",1,IF(comptype7="Two-Stage Rotary Screw",2,IF(comptype7="One-Stage Piston",4,IF(comptype7="Two-Stage Piston",5,IF(comptype7="Impeller/Centrifugal",6,IF(comptype7="Unsure",-1,0)))))))</f>
        <v>0</v>
      </c>
      <c r="AA113" s="117">
        <f>IF(COUNTA(comptype8)=0,0,IF(comptype8="One-Stage Rotary Screw",1,IF(comptype8="Two-Stage Rotary Screw",2,IF(comptype8="One-Stage Piston",4,IF(comptype8="Two-Stage Piston",5,IF(comptype8="Impeller/Centrifugal",6,IF(comptype8="Unsure",-1,0)))))))</f>
        <v>0</v>
      </c>
      <c r="AB113" s="117">
        <f>IF(COUNTA(comptype9)=0,0,IF(comptype9="One-Stage Rotary Screw",1,IF(comptype9="Two-Stage Rotary Screw",2,IF(comptype9="One-Stage Piston",4,IF(comptype9="Two-Stage Piston",5,IF(comptype9="Impeller/Centrifugal",6,IF(comptype9="Unsure",-1,0)))))))</f>
        <v>0</v>
      </c>
      <c r="AC113" s="117">
        <f>IF(COUNTA(comptype10)=0,0,IF(comptype10="One-Stage Rotary Screw",1,IF(comptype10="Two-Stage Rotary Screw",2,IF(comptype10="One-Stage Piston",4,IF(comptype10="Two-Stage Piston",5,IF(comptype10="Impeller/Centrifugal",6,IF(comptype10="Unsure",-1,0)))))))</f>
        <v>0</v>
      </c>
    </row>
    <row r="114" spans="15:30" hidden="1" x14ac:dyDescent="0.25">
      <c r="S114" t="s">
        <v>470</v>
      </c>
      <c r="T114" t="e">
        <f>IF(IFERROR(AVERAGEIFS(Compressors!$S:$S,Compressors!$G:$G,C$30,Compressors!$I:$I,pressure1,Compressors!$D:$D,1),0)&gt;0,AVERAGEIFS(Compressors!$S:$S,Compressors!$G:$G,C$30,Compressors!$I:$I,pressure1,Compressors!$D:$D,1),AVERAGEIFS(Compressors!$S:$S,Compressors!$G:$G,C$30,Compressors!$I:$I,pressure1,Compressors!$D:$D,4))</f>
        <v>#DIV/0!</v>
      </c>
      <c r="U114" s="147" t="e">
        <f>IF(IFERROR(AVERAGEIFS(Compressors!$S:$S,Compressors!$G:$G,D$30,Compressors!$I:$I,pressure2,Compressors!$D:$D,1),0)&gt;0,AVERAGEIFS(Compressors!$S:$S,Compressors!$G:$G,D$30,Compressors!$I:$I,pressure2,Compressors!$D:$D,1),AVERAGEIFS(Compressors!$S:$S,Compressors!$G:$G,D$30,Compressors!$I:$I,pressure2,Compressors!$D:$D,4))</f>
        <v>#DIV/0!</v>
      </c>
      <c r="V114" s="147" t="e">
        <f>IF(IFERROR(AVERAGEIFS(Compressors!$S:$S,Compressors!$G:$G,E$30,Compressors!$I:$I,pressure3,Compressors!$D:$D,1),0)&gt;0,AVERAGEIFS(Compressors!$S:$S,Compressors!$G:$G,E$30,Compressors!$I:$I,pressure3,Compressors!$D:$D,1),AVERAGEIFS(Compressors!$S:$S,Compressors!$G:$G,E$30,Compressors!$I:$I,pressure3,Compressors!$D:$D,4))</f>
        <v>#DIV/0!</v>
      </c>
      <c r="W114" s="147" t="e">
        <f>IF(IFERROR(AVERAGEIFS(Compressors!$S:$S,Compressors!$G:$G,F$30,Compressors!$I:$I,pressure4,Compressors!$D:$D,1),0)&gt;0,AVERAGEIFS(Compressors!$S:$S,Compressors!$G:$G,F$30,Compressors!$I:$I,pressure4,Compressors!$D:$D,1),AVERAGEIFS(Compressors!$S:$S,Compressors!$G:$G,F$30,Compressors!$I:$I,pressure4,Compressors!$D:$D,4))</f>
        <v>#DIV/0!</v>
      </c>
      <c r="X114" s="147" t="e">
        <f>IF(IFERROR(AVERAGEIFS(Compressors!$S:$S,Compressors!$G:$G,G$30,Compressors!$I:$I,pressure5,Compressors!$D:$D,1),0)&gt;0,AVERAGEIFS(Compressors!$S:$S,Compressors!$G:$G,G$30,Compressors!$I:$I,pressure5,Compressors!$D:$D,1),AVERAGEIFS(Compressors!$S:$S,Compressors!$G:$G,G$30,Compressors!$I:$I,pressure5,Compressors!$D:$D,4))</f>
        <v>#DIV/0!</v>
      </c>
      <c r="Y114" s="147" t="e">
        <f>IF(IFERROR(AVERAGEIFS(Compressors!$S:$S,Compressors!$G:$G,H$30,Compressors!$I:$I,pressure6,Compressors!$D:$D,1),0)&gt;0,AVERAGEIFS(Compressors!$S:$S,Compressors!$G:$G,H$30,Compressors!$I:$I,pressure6,Compressors!$D:$D,1),AVERAGEIFS(Compressors!$S:$S,Compressors!$G:$G,H$30,Compressors!$I:$I,pressure6,Compressors!$D:$D,4))</f>
        <v>#DIV/0!</v>
      </c>
      <c r="Z114" s="147" t="e">
        <f>IF(IFERROR(AVERAGEIFS(Compressors!$S:$S,Compressors!$G:$G,I$30,Compressors!$I:$I,pressure7,Compressors!$D:$D,1),0)&gt;0,AVERAGEIFS(Compressors!$S:$S,Compressors!$G:$G,I$30,Compressors!$I:$I,pressure7,Compressors!$D:$D,1),AVERAGEIFS(Compressors!$S:$S,Compressors!$G:$G,I$30,Compressors!$I:$I,pressure7,Compressors!$D:$D,4))</f>
        <v>#DIV/0!</v>
      </c>
      <c r="AA114" s="147" t="e">
        <f>IF(IFERROR(AVERAGEIFS(Compressors!$S:$S,Compressors!$G:$G,J$30,Compressors!$I:$I,pressure8,Compressors!$D:$D,1),0)&gt;0,AVERAGEIFS(Compressors!$S:$S,Compressors!$G:$G,J$30,Compressors!$I:$I,pressure8,Compressors!$D:$D,1),AVERAGEIFS(Compressors!$S:$S,Compressors!$G:$G,J$30,Compressors!$I:$I,pressure8,Compressors!$D:$D,4))</f>
        <v>#DIV/0!</v>
      </c>
      <c r="AB114" s="147" t="e">
        <f>IF(IFERROR(AVERAGEIFS(Compressors!$S:$S,Compressors!$G:$G,K$30,Compressors!$I:$I,pressure9,Compressors!$D:$D,1),0)&gt;0,AVERAGEIFS(Compressors!$S:$S,Compressors!$G:$G,K$30,Compressors!$I:$I,pressure9,Compressors!$D:$D,1),AVERAGEIFS(Compressors!$S:$S,Compressors!$G:$G,K$30,Compressors!$I:$I,pressure9,Compressors!$D:$D,4))</f>
        <v>#DIV/0!</v>
      </c>
      <c r="AC114" s="147" t="e">
        <f>IF(IFERROR(AVERAGEIFS(Compressors!$S:$S,Compressors!$G:$G,L$30,Compressors!$I:$I,pressure10,Compressors!$D:$D,1),0)&gt;0,AVERAGEIFS(Compressors!$S:$S,Compressors!$G:$G,L$30,Compressors!$I:$I,pressure10,Compressors!$D:$D,1),AVERAGEIFS(Compressors!$S:$S,Compressors!$G:$G,L$30,Compressors!$I:$I,pressure10,Compressors!$D:$D,4))</f>
        <v>#DIV/0!</v>
      </c>
    </row>
    <row r="115" spans="15:30" hidden="1" x14ac:dyDescent="0.25">
      <c r="S115" s="117" t="s">
        <v>207</v>
      </c>
      <c r="T115" s="147" t="e">
        <f>IFERROR(IF(T$113&gt;0,AVERAGEIFS(Compressors!$S:$S,Compressors!$G:$G,C$30,Compressors!$I:$I,pressure1,Compressors!$D:$D,T$113),T114),T114)</f>
        <v>#DIV/0!</v>
      </c>
      <c r="U115" s="147" t="e">
        <f>IFERROR(IF(U$113&gt;0,AVERAGEIFS(Compressors!$S:$S,Compressors!$G:$G,D$30,Compressors!$I:$I,pressure2,Compressors!$D:$D,U$113),U114),U114)</f>
        <v>#DIV/0!</v>
      </c>
      <c r="V115" s="147" t="e">
        <f>IFERROR(IF(V$113&gt;0,AVERAGEIFS(Compressors!$S:$S,Compressors!$G:$G,E$30,Compressors!$I:$I,pressure3,Compressors!$D:$D,V$113),V114),V114)</f>
        <v>#DIV/0!</v>
      </c>
      <c r="W115" s="147" t="e">
        <f>IFERROR(IF(W$113&gt;0,AVERAGEIFS(Compressors!$S:$S,Compressors!$G:$G,F$30,Compressors!$I:$I,pressure4,Compressors!$D:$D,W$113),W114),W114)</f>
        <v>#DIV/0!</v>
      </c>
      <c r="X115" s="147" t="e">
        <f>IFERROR(IF(X$113&gt;0,AVERAGEIFS(Compressors!$S:$S,Compressors!$G:$G,G$30,Compressors!$I:$I,pressure5,Compressors!$D:$D,X$113),X114),X114)</f>
        <v>#DIV/0!</v>
      </c>
      <c r="Y115" s="147" t="e">
        <f>IFERROR(IF(Y$113&gt;0,AVERAGEIFS(Compressors!$S:$S,Compressors!$G:$G,H$30,Compressors!$I:$I,pressure6,Compressors!$D:$D,Y$113),Y114),Y114)</f>
        <v>#DIV/0!</v>
      </c>
      <c r="Z115" s="147" t="e">
        <f>IFERROR(IF(Z$113&gt;0,AVERAGEIFS(Compressors!$S:$S,Compressors!$G:$G,I$30,Compressors!$I:$I,pressure7,Compressors!$D:$D,Z$113),Z114),Z114)</f>
        <v>#DIV/0!</v>
      </c>
      <c r="AA115" s="147" t="e">
        <f>IFERROR(IF(AA$113&gt;0,AVERAGEIFS(Compressors!$S:$S,Compressors!$G:$G,J$30,Compressors!$I:$I,pressure8,Compressors!$D:$D,AA$113),AA114),AA114)</f>
        <v>#DIV/0!</v>
      </c>
      <c r="AB115" s="147" t="e">
        <f>IFERROR(IF(AB$113&gt;0,AVERAGEIFS(Compressors!$S:$S,Compressors!$G:$G,K$30,Compressors!$I:$I,pressure9,Compressors!$D:$D,AB$113),AB114),AB114)</f>
        <v>#DIV/0!</v>
      </c>
      <c r="AC115" s="147" t="e">
        <f>IFERROR(IF(AC$113&gt;0,AVERAGEIFS(Compressors!$S:$S,Compressors!$G:$G,L$30,Compressors!$I:$I,pressure10,Compressors!$D:$D,AC$113),AC114),AC114)</f>
        <v>#DIV/0!</v>
      </c>
    </row>
    <row r="116" spans="15:30" hidden="1" x14ac:dyDescent="0.25">
      <c r="S116" s="117" t="s">
        <v>364</v>
      </c>
      <c r="T116" s="118" t="e">
        <f>IF(AND(OR(C33="Unsure",C33=0),NOT(OR(C34="Unsure",C34=0))),T115*HLOOKUP(C$34,Compressors!$AJ$1:$AU$20,MATCH("Load/Unload",Compressors!$AJ$1:$AJ$20,0),FALSE),IF(AND(OR(C33="Unsure",C33=0),OR(C34="Unsure",C34=0)),T117,IF(AND(NOT(OR(C33="Unsure",C33=0)),OR(C34="Unsure",C34=0)),T115*HLOOKUP(Compressors!$AP$1,Compressors!$AJ$1:$AU$20,MATCH(C$33,Compressors!$AJ$1:$AJ$20,0),FALSE),T115*HLOOKUP(C$34,Compressors!$AJ$1:$AU$20,MATCH(C$33,Compressors!$AJ$1:$AJ$20,0),FALSE))))</f>
        <v>#DIV/0!</v>
      </c>
      <c r="U116" s="147" t="e">
        <f>IF(AND(OR(D33="Unsure",D33=0),NOT(OR(D34="Unsure",D34=0))),U115*HLOOKUP(D$34,Compressors!$AJ$1:$AU$20,MATCH("Load/Unload",Compressors!$AJ$1:$AJ$20,0),FALSE),IF(AND(OR(D33="Unsure",D33=0),OR(D34="Unsure",D34=0)),U117,IF(AND(NOT(OR(D33="Unsure",D33=0)),OR(D34="Unsure",D34=0)),U115*HLOOKUP(Compressors!$AP$1,Compressors!$AJ$1:$AU$20,MATCH(D$33,Compressors!$AJ$1:$AJ$20,0),FALSE),U115*HLOOKUP(D$34,Compressors!$AJ$1:$AU$20,MATCH(D$33,Compressors!$AJ$1:$AJ$20,0),FALSE))))</f>
        <v>#DIV/0!</v>
      </c>
      <c r="V116" s="147" t="e">
        <f>IF(AND(OR(E33="Unsure",E33=0),NOT(OR(E34="Unsure",E34=0))),V115*HLOOKUP(E$34,Compressors!$AJ$1:$AU$20,MATCH("Load/Unload",Compressors!$AJ$1:$AJ$20,0),FALSE),IF(AND(OR(E33="Unsure",E33=0),OR(E34="Unsure",E34=0)),V117,IF(AND(NOT(OR(E33="Unsure",E33=0)),OR(E34="Unsure",E34=0)),V115*HLOOKUP(Compressors!$AP$1,Compressors!$AJ$1:$AU$20,MATCH(E$33,Compressors!$AJ$1:$AJ$20,0),FALSE),V115*HLOOKUP(E$34,Compressors!$AJ$1:$AU$20,MATCH(E$33,Compressors!$AJ$1:$AJ$20,0),FALSE))))</f>
        <v>#DIV/0!</v>
      </c>
      <c r="W116" s="147" t="e">
        <f>IF(AND(OR(F33="Unsure",F33=0),NOT(OR(F34="Unsure",F34=0))),W115*HLOOKUP(F$34,Compressors!$AJ$1:$AU$20,MATCH("Load/Unload",Compressors!$AJ$1:$AJ$20,0),FALSE),IF(AND(OR(F33="Unsure",F33=0),OR(F34="Unsure",F34=0)),W117,IF(AND(NOT(OR(F33="Unsure",F33=0)),OR(F34="Unsure",F34=0)),W115*HLOOKUP(Compressors!$AP$1,Compressors!$AJ$1:$AU$20,MATCH(F$33,Compressors!$AJ$1:$AJ$20,0),FALSE),W115*HLOOKUP(F$34,Compressors!$AJ$1:$AU$20,MATCH(F$33,Compressors!$AJ$1:$AJ$20,0),FALSE))))</f>
        <v>#DIV/0!</v>
      </c>
      <c r="X116" s="147" t="e">
        <f>IF(AND(OR(G33="Unsure",G33=0),NOT(OR(G34="Unsure",G34=0))),X115*HLOOKUP(G$34,Compressors!$AJ$1:$AU$20,MATCH("Load/Unload",Compressors!$AJ$1:$AJ$20,0),FALSE),IF(AND(OR(G33="Unsure",G33=0),OR(G34="Unsure",G34=0)),X117,IF(AND(NOT(OR(G33="Unsure",G33=0)),OR(G34="Unsure",G34=0)),X115*HLOOKUP(Compressors!$AP$1,Compressors!$AJ$1:$AU$20,MATCH(G$33,Compressors!$AJ$1:$AJ$20,0),FALSE),X115*HLOOKUP(G$34,Compressors!$AJ$1:$AU$20,MATCH(G$33,Compressors!$AJ$1:$AJ$20,0),FALSE))))</f>
        <v>#DIV/0!</v>
      </c>
      <c r="Y116" s="147" t="e">
        <f>IF(AND(OR(H33="Unsure",H33=0),NOT(OR(H34="Unsure",H34=0))),Y115*HLOOKUP(H$34,Compressors!$AJ$1:$AU$20,MATCH("Load/Unload",Compressors!$AJ$1:$AJ$20,0),FALSE),IF(AND(OR(H33="Unsure",H33=0),OR(H34="Unsure",H34=0)),Y117,IF(AND(NOT(OR(H33="Unsure",H33=0)),OR(H34="Unsure",H34=0)),Y115*HLOOKUP(Compressors!$AP$1,Compressors!$AJ$1:$AU$20,MATCH(H$33,Compressors!$AJ$1:$AJ$20,0),FALSE),Y115*HLOOKUP(H$34,Compressors!$AJ$1:$AU$20,MATCH(H$33,Compressors!$AJ$1:$AJ$20,0),FALSE))))</f>
        <v>#DIV/0!</v>
      </c>
      <c r="Z116" s="147" t="e">
        <f>IF(AND(OR(I33="Unsure",I33=0),NOT(OR(I34="Unsure",I34=0))),Z115*HLOOKUP(I$34,Compressors!$AJ$1:$AU$20,MATCH("Load/Unload",Compressors!$AJ$1:$AJ$20,0),FALSE),IF(AND(OR(I33="Unsure",I33=0),OR(I34="Unsure",I34=0)),Z117,IF(AND(NOT(OR(I33="Unsure",I33=0)),OR(I34="Unsure",I34=0)),Z115*HLOOKUP(Compressors!$AP$1,Compressors!$AJ$1:$AU$20,MATCH(I$33,Compressors!$AJ$1:$AJ$20,0),FALSE),Z115*HLOOKUP(I$34,Compressors!$AJ$1:$AU$20,MATCH(I$33,Compressors!$AJ$1:$AJ$20,0),FALSE))))</f>
        <v>#DIV/0!</v>
      </c>
      <c r="AA116" s="147" t="e">
        <f>IF(AND(OR(J33="Unsure",J33=0),NOT(OR(J34="Unsure",J34=0))),AA115*HLOOKUP(J$34,Compressors!$AJ$1:$AU$20,MATCH("Load/Unload",Compressors!$AJ$1:$AJ$20,0),FALSE),IF(AND(OR(J33="Unsure",J33=0),OR(J34="Unsure",J34=0)),AA117,IF(AND(NOT(OR(J33="Unsure",J33=0)),OR(J34="Unsure",J34=0)),AA115*HLOOKUP(Compressors!$AP$1,Compressors!$AJ$1:$AU$20,MATCH(J$33,Compressors!$AJ$1:$AJ$20,0),FALSE),AA115*HLOOKUP(J$34,Compressors!$AJ$1:$AU$20,MATCH(J$33,Compressors!$AJ$1:$AJ$20,0),FALSE))))</f>
        <v>#DIV/0!</v>
      </c>
      <c r="AB116" s="147" t="e">
        <f>IF(AND(OR(K33="Unsure",K33=0),NOT(OR(K34="Unsure",K34=0))),AB115*HLOOKUP(K$34,Compressors!$AJ$1:$AU$20,MATCH("Load/Unload",Compressors!$AJ$1:$AJ$20,0),FALSE),IF(AND(OR(K33="Unsure",K33=0),OR(K34="Unsure",K34=0)),AB117,IF(AND(NOT(OR(K33="Unsure",K33=0)),OR(K34="Unsure",K34=0)),AB115*HLOOKUP(Compressors!$AP$1,Compressors!$AJ$1:$AU$20,MATCH(K$33,Compressors!$AJ$1:$AJ$20,0),FALSE),AB115*HLOOKUP(K$34,Compressors!$AJ$1:$AU$20,MATCH(K$33,Compressors!$AJ$1:$AJ$20,0),FALSE))))</f>
        <v>#DIV/0!</v>
      </c>
      <c r="AC116" s="147" t="e">
        <f>IF(AND(OR(L33="Unsure",L33=0),NOT(OR(L34="Unsure",L34=0))),AC115*HLOOKUP(L$34,Compressors!$AJ$1:$AU$20,MATCH("Load/Unload",Compressors!$AJ$1:$AJ$20,0),FALSE),IF(AND(OR(L33="Unsure",L33=0),OR(L34="Unsure",L34=0)),AC117,IF(AND(NOT(OR(L33="Unsure",L33=0)),OR(L34="Unsure",L34=0)),AC115*HLOOKUP(Compressors!$AP$1,Compressors!$AJ$1:$AU$20,MATCH(L$33,Compressors!$AJ$1:$AJ$20,0),FALSE),AC115*HLOOKUP(L$34,Compressors!$AJ$1:$AU$20,MATCH(L$33,Compressors!$AJ$1:$AJ$20,0),FALSE))))</f>
        <v>#DIV/0!</v>
      </c>
    </row>
    <row r="117" spans="15:30" hidden="1" x14ac:dyDescent="0.25">
      <c r="S117" t="s">
        <v>462</v>
      </c>
      <c r="T117" t="e">
        <f>T$115*Compressors!$AP$18</f>
        <v>#DIV/0!</v>
      </c>
      <c r="U117" s="147" t="e">
        <f>U$115*Compressors!$AP$18</f>
        <v>#DIV/0!</v>
      </c>
      <c r="V117" s="147" t="e">
        <f>V$115*Compressors!$AP$18</f>
        <v>#DIV/0!</v>
      </c>
      <c r="W117" s="147" t="e">
        <f>W$115*Compressors!$AP$18</f>
        <v>#DIV/0!</v>
      </c>
      <c r="X117" s="147" t="e">
        <f>X$115*Compressors!$AP$18</f>
        <v>#DIV/0!</v>
      </c>
      <c r="Y117" s="147" t="e">
        <f>Y$115*Compressors!$AP$18</f>
        <v>#DIV/0!</v>
      </c>
      <c r="Z117" s="147" t="e">
        <f>Z$115*Compressors!$AP$18</f>
        <v>#DIV/0!</v>
      </c>
      <c r="AA117" s="147" t="e">
        <f>AA$115*Compressors!$AP$18</f>
        <v>#DIV/0!</v>
      </c>
      <c r="AB117" s="147" t="e">
        <f>AB$115*Compressors!$AP$18</f>
        <v>#DIV/0!</v>
      </c>
      <c r="AC117" s="147" t="e">
        <f>AC$115*Compressors!$AP$18</f>
        <v>#DIV/0!</v>
      </c>
    </row>
    <row r="118" spans="15:30" hidden="1" x14ac:dyDescent="0.25">
      <c r="S118" t="s">
        <v>466</v>
      </c>
      <c r="T118">
        <f>IF(COUNTBLANK(C30:C31)&gt;0,0,IF(OR(COUNTBLANK(C$34)=1,C$34="Unsure"),0.5*C$30,C$30*HLOOKUP(C$34,Compressors!$AJ$1:$AU$21,21,FALSE)))</f>
        <v>0</v>
      </c>
      <c r="U118" s="147">
        <f>IF(COUNTBLANK(D30:D31)&gt;0,0,IF(OR(COUNTBLANK(D$34)=1,D$34="Unsure"),0.5*D$30,D$30*HLOOKUP(D$34,Compressors!$AJ$1:$AU$21,21,FALSE)))</f>
        <v>0</v>
      </c>
      <c r="V118" s="147">
        <f>IF(COUNTBLANK(E30:E31)&gt;0,0,IF(OR(COUNTBLANK(E$34)=1,E$34="Unsure"),0.5*E$30,E$30*HLOOKUP(E$34,Compressors!$AJ$1:$AU$21,21,FALSE)))</f>
        <v>0</v>
      </c>
      <c r="W118" s="147">
        <f>IF(COUNTBLANK(F30:F31)&gt;0,0,IF(OR(COUNTBLANK(F$34)=1,F$34="Unsure"),0.5*F$30,F$30*HLOOKUP(F$34,Compressors!$AJ$1:$AU$21,21,FALSE)))</f>
        <v>0</v>
      </c>
      <c r="X118" s="147">
        <f>IF(COUNTBLANK(G30:G31)&gt;0,0,IF(OR(COUNTBLANK(G$34)=1,G$34="Unsure"),0.5*G$30,G$30*HLOOKUP(G$34,Compressors!$AJ$1:$AU$21,21,FALSE)))</f>
        <v>0</v>
      </c>
      <c r="Y118" s="147">
        <f>IF(COUNTBLANK(H30:H31)&gt;0,0,IF(OR(COUNTBLANK(H$34)=1,H$34="Unsure"),0.5*H$30,H$30*HLOOKUP(H$34,Compressors!$AJ$1:$AU$21,21,FALSE)))</f>
        <v>0</v>
      </c>
      <c r="Z118" s="147">
        <f>IF(COUNTBLANK(I30:I31)&gt;0,0,IF(OR(COUNTBLANK(I$34)=1,I$34="Unsure"),0.5*I$30,I$30*HLOOKUP(I$34,Compressors!$AJ$1:$AU$21,21,FALSE)))</f>
        <v>0</v>
      </c>
      <c r="AA118" s="147">
        <f>IF(COUNTBLANK(J30:J31)&gt;0,0,IF(OR(COUNTBLANK(J$34)=1,J$34="Unsure"),0.5*J$30,J$30*HLOOKUP(J$34,Compressors!$AJ$1:$AU$21,21,FALSE)))</f>
        <v>0</v>
      </c>
      <c r="AB118" s="147">
        <f>IF(COUNTBLANK(K30:K31)&gt;0,0,IF(OR(COUNTBLANK(K$34)=1,K$34="Unsure"),0.5*K$30,K$30*HLOOKUP(K$34,Compressors!$AJ$1:$AU$21,21,FALSE)))</f>
        <v>0</v>
      </c>
      <c r="AC118" s="147">
        <f>IF(COUNTBLANK(L30:L31)&gt;0,0,IF(OR(COUNTBLANK(L$34)=1,L$34="Unsure"),0.5*L$30,L$30*HLOOKUP(L$34,Compressors!$AJ$1:$AU$21,21,FALSE)))</f>
        <v>0</v>
      </c>
      <c r="AD118">
        <f>SUM(T118:AC118)</f>
        <v>0</v>
      </c>
    </row>
    <row r="119" spans="15:30" hidden="1" x14ac:dyDescent="0.25">
      <c r="S119" t="s">
        <v>465</v>
      </c>
      <c r="T119" t="e">
        <f t="shared" ref="T119:AC119" si="2">T118/$AD$118</f>
        <v>#DIV/0!</v>
      </c>
      <c r="U119" s="147" t="e">
        <f t="shared" si="2"/>
        <v>#DIV/0!</v>
      </c>
      <c r="V119" s="147" t="e">
        <f t="shared" si="2"/>
        <v>#DIV/0!</v>
      </c>
      <c r="W119" s="147" t="e">
        <f t="shared" si="2"/>
        <v>#DIV/0!</v>
      </c>
      <c r="X119" s="147" t="e">
        <f t="shared" si="2"/>
        <v>#DIV/0!</v>
      </c>
      <c r="Y119" s="147" t="e">
        <f t="shared" si="2"/>
        <v>#DIV/0!</v>
      </c>
      <c r="Z119" s="147" t="e">
        <f t="shared" si="2"/>
        <v>#DIV/0!</v>
      </c>
      <c r="AA119" s="147" t="e">
        <f t="shared" si="2"/>
        <v>#DIV/0!</v>
      </c>
      <c r="AB119" s="147" t="e">
        <f t="shared" si="2"/>
        <v>#DIV/0!</v>
      </c>
      <c r="AC119" s="147" t="e">
        <f t="shared" si="2"/>
        <v>#DIV/0!</v>
      </c>
    </row>
    <row r="120" spans="15:30" hidden="1" x14ac:dyDescent="0.25">
      <c r="S120" t="s">
        <v>467</v>
      </c>
      <c r="T120">
        <f>IFERROR(T119*T116,0)</f>
        <v>0</v>
      </c>
      <c r="U120" s="147">
        <f t="shared" ref="U120:AC120" si="3">IFERROR(U119*U116,0)</f>
        <v>0</v>
      </c>
      <c r="V120" s="147">
        <f t="shared" si="3"/>
        <v>0</v>
      </c>
      <c r="W120" s="147">
        <f t="shared" si="3"/>
        <v>0</v>
      </c>
      <c r="X120" s="147">
        <f t="shared" si="3"/>
        <v>0</v>
      </c>
      <c r="Y120" s="147">
        <f t="shared" si="3"/>
        <v>0</v>
      </c>
      <c r="Z120" s="147">
        <f t="shared" si="3"/>
        <v>0</v>
      </c>
      <c r="AA120" s="147">
        <f t="shared" si="3"/>
        <v>0</v>
      </c>
      <c r="AB120" s="147">
        <f t="shared" si="3"/>
        <v>0</v>
      </c>
      <c r="AC120" s="147">
        <f t="shared" si="3"/>
        <v>0</v>
      </c>
    </row>
    <row r="121" spans="15:30" hidden="1" x14ac:dyDescent="0.25"/>
    <row r="122" spans="15:30" hidden="1" x14ac:dyDescent="0.25">
      <c r="S122" t="s">
        <v>468</v>
      </c>
      <c r="T122">
        <f>SUM(T120:AC120)</f>
        <v>0</v>
      </c>
    </row>
    <row r="123" spans="15:30" hidden="1" x14ac:dyDescent="0.25"/>
    <row r="124" spans="15:30" hidden="1" x14ac:dyDescent="0.25"/>
    <row r="125" spans="15:30" hidden="1" x14ac:dyDescent="0.25"/>
    <row r="126" spans="15:30" hidden="1" x14ac:dyDescent="0.25">
      <c r="T126" t="s">
        <v>292</v>
      </c>
      <c r="U126" t="s">
        <v>293</v>
      </c>
      <c r="V126" t="s">
        <v>294</v>
      </c>
      <c r="W126" t="s">
        <v>295</v>
      </c>
      <c r="X126" t="s">
        <v>296</v>
      </c>
      <c r="Y126" t="s">
        <v>297</v>
      </c>
      <c r="Z126" t="s">
        <v>298</v>
      </c>
      <c r="AA126" t="s">
        <v>299</v>
      </c>
      <c r="AB126" t="s">
        <v>300</v>
      </c>
      <c r="AC126" t="s">
        <v>301</v>
      </c>
    </row>
    <row r="127" spans="15:30" hidden="1" x14ac:dyDescent="0.25">
      <c r="O127" s="320" t="s">
        <v>464</v>
      </c>
      <c r="P127" s="321"/>
      <c r="Q127" s="321"/>
      <c r="R127" s="324" t="s">
        <v>330</v>
      </c>
      <c r="S127" s="31" t="s">
        <v>474</v>
      </c>
      <c r="T127">
        <f t="shared" ref="T127:AC127" si="4">C47*C48*C49*T142</f>
        <v>0</v>
      </c>
      <c r="U127" s="147">
        <f t="shared" si="4"/>
        <v>0</v>
      </c>
      <c r="V127" s="147">
        <f t="shared" si="4"/>
        <v>0</v>
      </c>
      <c r="W127" s="147">
        <f t="shared" si="4"/>
        <v>0</v>
      </c>
      <c r="X127" s="147">
        <f t="shared" si="4"/>
        <v>0</v>
      </c>
      <c r="Y127" s="147">
        <f t="shared" si="4"/>
        <v>0</v>
      </c>
      <c r="Z127" s="147">
        <f t="shared" si="4"/>
        <v>0</v>
      </c>
      <c r="AA127" s="147">
        <f t="shared" si="4"/>
        <v>0</v>
      </c>
      <c r="AB127" s="147">
        <f t="shared" si="4"/>
        <v>0</v>
      </c>
      <c r="AC127" s="147">
        <f t="shared" si="4"/>
        <v>0</v>
      </c>
    </row>
    <row r="128" spans="15:30" hidden="1" x14ac:dyDescent="0.25">
      <c r="O128" s="320"/>
      <c r="P128" s="321"/>
      <c r="Q128" s="321"/>
      <c r="R128" s="324"/>
      <c r="S128" s="31" t="s">
        <v>92</v>
      </c>
      <c r="T128">
        <f t="shared" ref="T128:AC128" si="5">C47*C48*C49*T143 * 120/1000</f>
        <v>0</v>
      </c>
      <c r="U128" s="147">
        <f t="shared" si="5"/>
        <v>0</v>
      </c>
      <c r="V128" s="147">
        <f t="shared" si="5"/>
        <v>0</v>
      </c>
      <c r="W128" s="147">
        <f t="shared" si="5"/>
        <v>0</v>
      </c>
      <c r="X128" s="147">
        <f t="shared" si="5"/>
        <v>0</v>
      </c>
      <c r="Y128" s="147">
        <f t="shared" si="5"/>
        <v>0</v>
      </c>
      <c r="Z128" s="147">
        <f t="shared" si="5"/>
        <v>0</v>
      </c>
      <c r="AA128" s="147">
        <f t="shared" si="5"/>
        <v>0</v>
      </c>
      <c r="AB128" s="147">
        <f t="shared" si="5"/>
        <v>0</v>
      </c>
      <c r="AC128" s="147">
        <f t="shared" si="5"/>
        <v>0</v>
      </c>
    </row>
    <row r="129" spans="15:29" hidden="1" x14ac:dyDescent="0.25">
      <c r="O129" s="320"/>
      <c r="P129" s="321"/>
      <c r="Q129" s="321"/>
      <c r="R129" s="324"/>
      <c r="S129" s="32" t="s">
        <v>472</v>
      </c>
      <c r="T129" s="201">
        <f t="shared" ref="T129:AC129" si="6">(T136*C47/T139)+T146</f>
        <v>0</v>
      </c>
      <c r="U129" s="201">
        <f t="shared" si="6"/>
        <v>0</v>
      </c>
      <c r="V129" s="2">
        <f t="shared" si="6"/>
        <v>0</v>
      </c>
      <c r="W129" s="2">
        <f t="shared" si="6"/>
        <v>0</v>
      </c>
      <c r="X129" s="2">
        <f t="shared" si="6"/>
        <v>0</v>
      </c>
      <c r="Y129" s="2">
        <f t="shared" si="6"/>
        <v>0</v>
      </c>
      <c r="Z129" s="2">
        <f t="shared" si="6"/>
        <v>0</v>
      </c>
      <c r="AA129" s="2">
        <f t="shared" si="6"/>
        <v>0</v>
      </c>
      <c r="AB129" s="2">
        <f t="shared" si="6"/>
        <v>0</v>
      </c>
      <c r="AC129" s="2">
        <f t="shared" si="6"/>
        <v>0</v>
      </c>
    </row>
    <row r="130" spans="15:29" hidden="1" x14ac:dyDescent="0.25">
      <c r="O130" s="320"/>
      <c r="P130" s="321"/>
      <c r="Q130" s="321"/>
      <c r="R130" s="324"/>
      <c r="S130" s="32" t="s">
        <v>97</v>
      </c>
      <c r="T130" s="1">
        <f t="shared" ref="T130:AC130" si="7">(T137*C47/T140)+T145</f>
        <v>0</v>
      </c>
      <c r="U130" s="1">
        <f t="shared" si="7"/>
        <v>0</v>
      </c>
      <c r="V130" s="1">
        <f t="shared" si="7"/>
        <v>0</v>
      </c>
      <c r="W130" s="1">
        <f t="shared" si="7"/>
        <v>0</v>
      </c>
      <c r="X130" s="1">
        <f t="shared" si="7"/>
        <v>0</v>
      </c>
      <c r="Y130" s="1">
        <f t="shared" si="7"/>
        <v>0</v>
      </c>
      <c r="Z130" s="1">
        <f t="shared" si="7"/>
        <v>0</v>
      </c>
      <c r="AA130" s="1">
        <f t="shared" si="7"/>
        <v>0</v>
      </c>
      <c r="AB130" s="1">
        <f t="shared" si="7"/>
        <v>0</v>
      </c>
      <c r="AC130" s="1">
        <f t="shared" si="7"/>
        <v>0</v>
      </c>
    </row>
    <row r="131" spans="15:29" hidden="1" x14ac:dyDescent="0.25">
      <c r="O131" s="320"/>
      <c r="P131" s="321"/>
      <c r="Q131" s="321"/>
      <c r="R131" s="324"/>
      <c r="S131" s="32" t="s">
        <v>98</v>
      </c>
      <c r="T131" s="1">
        <f t="shared" ref="T131:AC131" si="8">(T138*C47/T141)+T145</f>
        <v>0</v>
      </c>
      <c r="U131" s="1">
        <f t="shared" si="8"/>
        <v>0</v>
      </c>
      <c r="V131" s="1">
        <f t="shared" si="8"/>
        <v>0</v>
      </c>
      <c r="W131" s="1">
        <f t="shared" si="8"/>
        <v>0</v>
      </c>
      <c r="X131" s="1">
        <f t="shared" si="8"/>
        <v>0</v>
      </c>
      <c r="Y131" s="1">
        <f t="shared" si="8"/>
        <v>0</v>
      </c>
      <c r="Z131" s="1">
        <f t="shared" si="8"/>
        <v>0</v>
      </c>
      <c r="AA131" s="1">
        <f t="shared" si="8"/>
        <v>0</v>
      </c>
      <c r="AB131" s="1">
        <f t="shared" si="8"/>
        <v>0</v>
      </c>
      <c r="AC131" s="1">
        <f t="shared" si="8"/>
        <v>0</v>
      </c>
    </row>
    <row r="132" spans="15:29" hidden="1" x14ac:dyDescent="0.25">
      <c r="O132" s="320"/>
      <c r="P132" s="321"/>
      <c r="Q132" s="321"/>
      <c r="R132" s="324"/>
      <c r="S132" s="31" t="s">
        <v>105</v>
      </c>
      <c r="T132" s="1">
        <f t="shared" ref="T132:AC132" si="9">T137*C47</f>
        <v>0</v>
      </c>
      <c r="U132" s="1">
        <f t="shared" si="9"/>
        <v>0</v>
      </c>
      <c r="V132" s="1">
        <f t="shared" si="9"/>
        <v>0</v>
      </c>
      <c r="W132" s="1">
        <f t="shared" si="9"/>
        <v>0</v>
      </c>
      <c r="X132" s="1">
        <f t="shared" si="9"/>
        <v>0</v>
      </c>
      <c r="Y132" s="1">
        <f t="shared" si="9"/>
        <v>0</v>
      </c>
      <c r="Z132" s="1">
        <f t="shared" si="9"/>
        <v>0</v>
      </c>
      <c r="AA132" s="1">
        <f t="shared" si="9"/>
        <v>0</v>
      </c>
      <c r="AB132" s="1">
        <f t="shared" si="9"/>
        <v>0</v>
      </c>
      <c r="AC132" s="1">
        <f t="shared" si="9"/>
        <v>0</v>
      </c>
    </row>
    <row r="133" spans="15:29" hidden="1" x14ac:dyDescent="0.25">
      <c r="O133" s="320"/>
      <c r="P133" s="321"/>
      <c r="Q133" s="321"/>
      <c r="R133" s="324"/>
      <c r="S133" s="31" t="s">
        <v>106</v>
      </c>
      <c r="T133" s="1">
        <f t="shared" ref="T133:AC133" si="10">T138*C47</f>
        <v>0</v>
      </c>
      <c r="U133" s="1">
        <f t="shared" si="10"/>
        <v>0</v>
      </c>
      <c r="V133" s="1">
        <f t="shared" si="10"/>
        <v>0</v>
      </c>
      <c r="W133" s="1">
        <f t="shared" si="10"/>
        <v>0</v>
      </c>
      <c r="X133" s="1">
        <f t="shared" si="10"/>
        <v>0</v>
      </c>
      <c r="Y133" s="1">
        <f t="shared" si="10"/>
        <v>0</v>
      </c>
      <c r="Z133" s="1">
        <f t="shared" si="10"/>
        <v>0</v>
      </c>
      <c r="AA133" s="1">
        <f t="shared" si="10"/>
        <v>0</v>
      </c>
      <c r="AB133" s="1">
        <f t="shared" si="10"/>
        <v>0</v>
      </c>
      <c r="AC133" s="1">
        <f t="shared" si="10"/>
        <v>0</v>
      </c>
    </row>
    <row r="134" spans="15:29" hidden="1" x14ac:dyDescent="0.25">
      <c r="O134" s="320"/>
      <c r="P134" s="321"/>
      <c r="Q134" s="321"/>
      <c r="R134" s="324"/>
      <c r="S134" s="31" t="s">
        <v>260</v>
      </c>
      <c r="T134" s="105">
        <f>IF(T144=2,T131,T130)</f>
        <v>0</v>
      </c>
      <c r="U134" s="105">
        <f t="shared" ref="U134:AC134" si="11">IF(U144=2,U131,U130)</f>
        <v>0</v>
      </c>
      <c r="V134">
        <f t="shared" si="11"/>
        <v>0</v>
      </c>
      <c r="W134">
        <f t="shared" si="11"/>
        <v>0</v>
      </c>
      <c r="X134">
        <f t="shared" si="11"/>
        <v>0</v>
      </c>
      <c r="Y134">
        <f t="shared" si="11"/>
        <v>0</v>
      </c>
      <c r="Z134">
        <f t="shared" si="11"/>
        <v>0</v>
      </c>
      <c r="AA134">
        <f t="shared" si="11"/>
        <v>0</v>
      </c>
      <c r="AB134">
        <f t="shared" si="11"/>
        <v>0</v>
      </c>
      <c r="AC134">
        <f t="shared" si="11"/>
        <v>0</v>
      </c>
    </row>
    <row r="135" spans="15:29" hidden="1" x14ac:dyDescent="0.25">
      <c r="O135" s="320"/>
      <c r="P135" s="321"/>
      <c r="Q135" s="321"/>
      <c r="R135" s="324"/>
      <c r="S135" s="31" t="s">
        <v>261</v>
      </c>
      <c r="T135" s="1">
        <f t="shared" ref="T135:AC135" si="12">IF(T144=2,T133,T132)</f>
        <v>0</v>
      </c>
      <c r="U135" s="1">
        <f>IF(U144=2,U133,U132)</f>
        <v>0</v>
      </c>
      <c r="V135" s="1">
        <f t="shared" si="12"/>
        <v>0</v>
      </c>
      <c r="W135" s="1">
        <f t="shared" si="12"/>
        <v>0</v>
      </c>
      <c r="X135" s="1">
        <f t="shared" si="12"/>
        <v>0</v>
      </c>
      <c r="Y135" s="1">
        <f t="shared" si="12"/>
        <v>0</v>
      </c>
      <c r="Z135" s="1">
        <f t="shared" si="12"/>
        <v>0</v>
      </c>
      <c r="AA135" s="1">
        <f t="shared" si="12"/>
        <v>0</v>
      </c>
      <c r="AB135" s="1">
        <f t="shared" si="12"/>
        <v>0</v>
      </c>
      <c r="AC135" s="1">
        <f t="shared" si="12"/>
        <v>0</v>
      </c>
    </row>
    <row r="136" spans="15:29" hidden="1" x14ac:dyDescent="0.25">
      <c r="O136" s="320"/>
      <c r="P136" s="321"/>
      <c r="Q136" s="321"/>
      <c r="R136" s="324"/>
      <c r="S136" s="43" t="s">
        <v>109</v>
      </c>
      <c r="T136">
        <f>IFERROR(VLOOKUP(C46,Consumption!$A$4:$R$69,14,FALSE),0)</f>
        <v>0</v>
      </c>
      <c r="U136" s="147">
        <f>IFERROR(VLOOKUP(D46,Consumption!$A$4:$R$69,14,FALSE),0)</f>
        <v>0</v>
      </c>
      <c r="V136" s="147">
        <f>IFERROR(VLOOKUP(E46,Consumption!$A$4:$R$69,14,FALSE),0)</f>
        <v>0</v>
      </c>
      <c r="W136" s="147">
        <f>IFERROR(VLOOKUP(F46,Consumption!$A$4:$R$69,14,FALSE),0)</f>
        <v>0</v>
      </c>
      <c r="X136" s="147">
        <f>IFERROR(VLOOKUP(G46,Consumption!$A$4:$R$69,14,FALSE),0)</f>
        <v>0</v>
      </c>
      <c r="Y136" s="147">
        <f>IFERROR(VLOOKUP(H46,Consumption!$A$4:$R$69,14,FALSE),0)</f>
        <v>0</v>
      </c>
      <c r="Z136" s="147">
        <f>IFERROR(VLOOKUP(I46,Consumption!$A$4:$R$69,14,FALSE),0)</f>
        <v>0</v>
      </c>
      <c r="AA136" s="147">
        <f>IFERROR(VLOOKUP(J46,Consumption!$A$4:$R$69,14,FALSE),0)</f>
        <v>0</v>
      </c>
      <c r="AB136" s="147">
        <f>IFERROR(VLOOKUP(K46,Consumption!$A$4:$R$69,14,FALSE),0)</f>
        <v>0</v>
      </c>
      <c r="AC136" s="147">
        <f>IFERROR(VLOOKUP(L46,Consumption!$A$4:$R$69,14,FALSE),0)</f>
        <v>0</v>
      </c>
    </row>
    <row r="137" spans="15:29" hidden="1" x14ac:dyDescent="0.25">
      <c r="O137" s="320"/>
      <c r="P137" s="321"/>
      <c r="Q137" s="321"/>
      <c r="R137" s="324"/>
      <c r="S137" s="43" t="s">
        <v>110</v>
      </c>
      <c r="T137">
        <f>IFERROR(VLOOKUP(C46,Consumption!$A$4:$R$69,16,FALSE),0)</f>
        <v>0</v>
      </c>
      <c r="U137" s="147">
        <f>IFERROR(VLOOKUP(D46,Consumption!$A$4:$R$69,16,FALSE),0)</f>
        <v>0</v>
      </c>
      <c r="V137" s="147">
        <f>IFERROR(VLOOKUP(E46,Consumption!$A$4:$R$69,16,FALSE),0)</f>
        <v>0</v>
      </c>
      <c r="W137" s="147">
        <f>IFERROR(VLOOKUP(F46,Consumption!$A$4:$R$69,16,FALSE),0)</f>
        <v>0</v>
      </c>
      <c r="X137" s="147">
        <f>IFERROR(VLOOKUP(G46,Consumption!$A$4:$R$69,16,FALSE),0)</f>
        <v>0</v>
      </c>
      <c r="Y137" s="147">
        <f>IFERROR(VLOOKUP(H46,Consumption!$A$4:$R$69,16,FALSE),0)</f>
        <v>0</v>
      </c>
      <c r="Z137" s="147">
        <f>IFERROR(VLOOKUP(I46,Consumption!$A$4:$R$69,16,FALSE),0)</f>
        <v>0</v>
      </c>
      <c r="AA137" s="147">
        <f>IFERROR(VLOOKUP(J46,Consumption!$A$4:$R$69,16,FALSE),0)</f>
        <v>0</v>
      </c>
      <c r="AB137" s="147">
        <f>IFERROR(VLOOKUP(K46,Consumption!$A$4:$R$69,16,FALSE),0)</f>
        <v>0</v>
      </c>
      <c r="AC137" s="147">
        <f>IFERROR(VLOOKUP(L46,Consumption!$A$4:$R$69,16,FALSE),0)</f>
        <v>0</v>
      </c>
    </row>
    <row r="138" spans="15:29" hidden="1" x14ac:dyDescent="0.25">
      <c r="O138" s="320"/>
      <c r="P138" s="321"/>
      <c r="Q138" s="321"/>
      <c r="R138" s="324"/>
      <c r="S138" s="43" t="s">
        <v>212</v>
      </c>
      <c r="T138">
        <f>IFERROR(VLOOKUP(C46,Consumption!$A$4:$R$69,17,FALSE),0)</f>
        <v>0</v>
      </c>
      <c r="U138" s="147">
        <f>IFERROR(VLOOKUP(D46,Consumption!$A$4:$R$69,17,FALSE),0)</f>
        <v>0</v>
      </c>
      <c r="V138" s="147">
        <f>IFERROR(VLOOKUP(E46,Consumption!$A$4:$R$69,17,FALSE),0)</f>
        <v>0</v>
      </c>
      <c r="W138" s="147">
        <f>IFERROR(VLOOKUP(F46,Consumption!$A$4:$R$69,17,FALSE),0)</f>
        <v>0</v>
      </c>
      <c r="X138" s="147">
        <f>IFERROR(VLOOKUP(G46,Consumption!$A$4:$R$69,17,FALSE),0)</f>
        <v>0</v>
      </c>
      <c r="Y138" s="147">
        <f>IFERROR(VLOOKUP(H46,Consumption!$A$4:$R$69,17,FALSE),0)</f>
        <v>0</v>
      </c>
      <c r="Z138" s="147">
        <f>IFERROR(VLOOKUP(I46,Consumption!$A$4:$R$69,17,FALSE),0)</f>
        <v>0</v>
      </c>
      <c r="AA138" s="147">
        <f>IFERROR(VLOOKUP(J46,Consumption!$A$4:$R$69,17,FALSE),0)</f>
        <v>0</v>
      </c>
      <c r="AB138" s="147">
        <f>IFERROR(VLOOKUP(K46,Consumption!$A$4:$R$69,17,FALSE),0)</f>
        <v>0</v>
      </c>
      <c r="AC138" s="147">
        <f>IFERROR(VLOOKUP(L46,Consumption!$A$4:$R$69,17,FALSE),0)</f>
        <v>0</v>
      </c>
    </row>
    <row r="139" spans="15:29" hidden="1" x14ac:dyDescent="0.25">
      <c r="R139" s="324"/>
      <c r="S139" s="43" t="s">
        <v>111</v>
      </c>
      <c r="T139">
        <f>dfltplifetime</f>
        <v>3</v>
      </c>
      <c r="U139" s="147">
        <f t="shared" ref="U139:AC139" si="13">dfltplifetime</f>
        <v>3</v>
      </c>
      <c r="V139" s="147">
        <f t="shared" si="13"/>
        <v>3</v>
      </c>
      <c r="W139" s="147">
        <f t="shared" si="13"/>
        <v>3</v>
      </c>
      <c r="X139" s="147">
        <f t="shared" si="13"/>
        <v>3</v>
      </c>
      <c r="Y139" s="147">
        <f t="shared" si="13"/>
        <v>3</v>
      </c>
      <c r="Z139" s="147">
        <f t="shared" si="13"/>
        <v>3</v>
      </c>
      <c r="AA139" s="147">
        <f t="shared" si="13"/>
        <v>3</v>
      </c>
      <c r="AB139" s="147">
        <f t="shared" si="13"/>
        <v>3</v>
      </c>
      <c r="AC139" s="147">
        <f t="shared" si="13"/>
        <v>3</v>
      </c>
    </row>
    <row r="140" spans="15:29" hidden="1" x14ac:dyDescent="0.25">
      <c r="R140" s="324"/>
      <c r="S140" s="43" t="s">
        <v>112</v>
      </c>
      <c r="T140" s="115">
        <f t="shared" ref="T140:AC140" si="14">dfltcrdlifetime</f>
        <v>2</v>
      </c>
      <c r="U140" s="115">
        <f t="shared" si="14"/>
        <v>2</v>
      </c>
      <c r="V140" s="115">
        <f t="shared" si="14"/>
        <v>2</v>
      </c>
      <c r="W140" s="115">
        <f t="shared" si="14"/>
        <v>2</v>
      </c>
      <c r="X140" s="115">
        <f t="shared" si="14"/>
        <v>2</v>
      </c>
      <c r="Y140" s="115">
        <f t="shared" si="14"/>
        <v>2</v>
      </c>
      <c r="Z140" s="115">
        <f t="shared" si="14"/>
        <v>2</v>
      </c>
      <c r="AA140" s="115">
        <f t="shared" si="14"/>
        <v>2</v>
      </c>
      <c r="AB140" s="115">
        <f t="shared" si="14"/>
        <v>2</v>
      </c>
      <c r="AC140" s="115">
        <f t="shared" si="14"/>
        <v>2</v>
      </c>
    </row>
    <row r="141" spans="15:29" hidden="1" x14ac:dyDescent="0.25">
      <c r="R141" s="324"/>
      <c r="S141" s="43" t="s">
        <v>113</v>
      </c>
      <c r="T141">
        <f t="shared" ref="T141:AC141" si="15">dfltcrdlslifetime</f>
        <v>2</v>
      </c>
      <c r="U141">
        <f t="shared" si="15"/>
        <v>2</v>
      </c>
      <c r="V141">
        <f t="shared" si="15"/>
        <v>2</v>
      </c>
      <c r="W141">
        <f t="shared" si="15"/>
        <v>2</v>
      </c>
      <c r="X141">
        <f t="shared" si="15"/>
        <v>2</v>
      </c>
      <c r="Y141">
        <f t="shared" si="15"/>
        <v>2</v>
      </c>
      <c r="Z141">
        <f t="shared" si="15"/>
        <v>2</v>
      </c>
      <c r="AA141">
        <f t="shared" si="15"/>
        <v>2</v>
      </c>
      <c r="AB141">
        <f t="shared" si="15"/>
        <v>2</v>
      </c>
      <c r="AC141">
        <f t="shared" si="15"/>
        <v>2</v>
      </c>
    </row>
    <row r="142" spans="15:29" hidden="1" x14ac:dyDescent="0.25">
      <c r="R142" s="324"/>
      <c r="S142" s="43" t="s">
        <v>114</v>
      </c>
      <c r="T142" s="2">
        <f>IFERROR(VLOOKUP(C46,Consumption!$A$4:$M$69,5,FALSE),0)</f>
        <v>0</v>
      </c>
      <c r="U142" s="2">
        <f>IFERROR(VLOOKUP(D46,Consumption!$A$4:$M$69,5,FALSE),0)</f>
        <v>0</v>
      </c>
      <c r="V142" s="2">
        <f>IFERROR(VLOOKUP(E46,Consumption!$A$4:$M$69,5,FALSE),0)</f>
        <v>0</v>
      </c>
      <c r="W142" s="2">
        <f>IFERROR(VLOOKUP(F46,Consumption!$A$4:$M$69,5,FALSE),0)</f>
        <v>0</v>
      </c>
      <c r="X142" s="2">
        <f>IFERROR(VLOOKUP(G46,Consumption!$A$4:$M$69,5,FALSE),0)</f>
        <v>0</v>
      </c>
      <c r="Y142" s="2">
        <f>IFERROR(VLOOKUP(H46,Consumption!$A$4:$M$69,5,FALSE),0)</f>
        <v>0</v>
      </c>
      <c r="Z142" s="2">
        <f>IFERROR(VLOOKUP(I46,Consumption!$A$4:$M$69,5,FALSE),0)</f>
        <v>0</v>
      </c>
      <c r="AA142" s="2">
        <f>IFERROR(VLOOKUP(J46,Consumption!$A$4:$M$69,5,FALSE),0)</f>
        <v>0</v>
      </c>
      <c r="AB142" s="2">
        <f>IFERROR(VLOOKUP(K46,Consumption!$A$4:$M$69,5,FALSE),0)</f>
        <v>0</v>
      </c>
      <c r="AC142" s="2">
        <f>IFERROR(VLOOKUP(L46,Consumption!$A$4:$M$69,5,FALSE),0)</f>
        <v>0</v>
      </c>
    </row>
    <row r="143" spans="15:29" hidden="1" x14ac:dyDescent="0.25">
      <c r="R143" s="324"/>
      <c r="S143" s="43" t="s">
        <v>115</v>
      </c>
      <c r="T143" s="2">
        <f>IFERROR(VLOOKUP(C46,Consumption!$A$4:$M$69,8,FALSE),0)</f>
        <v>0</v>
      </c>
      <c r="U143" s="2">
        <f>IFERROR(VLOOKUP(D46,Consumption!$A$4:$M$69,8,FALSE),0)</f>
        <v>0</v>
      </c>
      <c r="V143" s="2">
        <f>IFERROR(VLOOKUP(E46,Consumption!$A$4:$M$69,8,FALSE),0)</f>
        <v>0</v>
      </c>
      <c r="W143" s="2">
        <f>IFERROR(VLOOKUP(F46,Consumption!$A$4:$M$69,8,FALSE),0)</f>
        <v>0</v>
      </c>
      <c r="X143" s="2">
        <f>IFERROR(VLOOKUP(G46,Consumption!$A$4:$M$69,8,FALSE),0)</f>
        <v>0</v>
      </c>
      <c r="Y143" s="2">
        <f>IFERROR(VLOOKUP(H46,Consumption!$A$4:$M$69,8,FALSE),0)</f>
        <v>0</v>
      </c>
      <c r="Z143" s="2">
        <f>IFERROR(VLOOKUP(I46,Consumption!$A$4:$M$69,8,FALSE),0)</f>
        <v>0</v>
      </c>
      <c r="AA143" s="2">
        <f>IFERROR(VLOOKUP(J46,Consumption!$A$4:$M$69,8,FALSE),0)</f>
        <v>0</v>
      </c>
      <c r="AB143" s="2">
        <f>IFERROR(VLOOKUP(K46,Consumption!$A$4:$M$69,8,FALSE),0)</f>
        <v>0</v>
      </c>
      <c r="AC143" s="2">
        <f>IFERROR(VLOOKUP(L46,Consumption!$A$4:$M$69,8,FALSE),0)</f>
        <v>0</v>
      </c>
    </row>
    <row r="144" spans="15:29" hidden="1" x14ac:dyDescent="0.25">
      <c r="R144" s="324"/>
      <c r="S144" s="43" t="s">
        <v>223</v>
      </c>
      <c r="T144">
        <f t="shared" ref="T144:AC144" si="16">IF(COUNTA(C50)=0,-1,IF(C50="Unsure",0,IF(C50="Corded",1,2)))</f>
        <v>-1</v>
      </c>
      <c r="U144" s="147">
        <f t="shared" si="16"/>
        <v>-1</v>
      </c>
      <c r="V144" s="147">
        <f t="shared" si="16"/>
        <v>-1</v>
      </c>
      <c r="W144" s="147">
        <f t="shared" si="16"/>
        <v>-1</v>
      </c>
      <c r="X144" s="147">
        <f t="shared" si="16"/>
        <v>-1</v>
      </c>
      <c r="Y144" s="147">
        <f t="shared" si="16"/>
        <v>-1</v>
      </c>
      <c r="Z144" s="147">
        <f t="shared" si="16"/>
        <v>-1</v>
      </c>
      <c r="AA144" s="147">
        <f t="shared" si="16"/>
        <v>-1</v>
      </c>
      <c r="AB144" s="147">
        <f t="shared" si="16"/>
        <v>-1</v>
      </c>
      <c r="AC144" s="147">
        <f t="shared" si="16"/>
        <v>-1</v>
      </c>
    </row>
    <row r="145" spans="15:29" hidden="1" x14ac:dyDescent="0.25">
      <c r="O145" s="326" t="s">
        <v>349</v>
      </c>
      <c r="P145" s="326"/>
      <c r="Q145" s="326"/>
      <c r="R145" s="324"/>
      <c r="S145" s="43" t="s">
        <v>486</v>
      </c>
      <c r="T145" s="20">
        <v>0</v>
      </c>
      <c r="U145" s="20">
        <f t="shared" ref="U145:AC145" si="17">IF(U144=-1,0,IF(U144=0,$O$104*D47,IF(U144=1,$O$104*D47,IF(U144=2,$O$105*D47,0))))</f>
        <v>0</v>
      </c>
      <c r="V145" s="20">
        <f t="shared" si="17"/>
        <v>0</v>
      </c>
      <c r="W145" s="20">
        <f t="shared" si="17"/>
        <v>0</v>
      </c>
      <c r="X145" s="20">
        <f t="shared" si="17"/>
        <v>0</v>
      </c>
      <c r="Y145" s="20">
        <f t="shared" si="17"/>
        <v>0</v>
      </c>
      <c r="Z145" s="20">
        <f t="shared" si="17"/>
        <v>0</v>
      </c>
      <c r="AA145" s="20">
        <f t="shared" si="17"/>
        <v>0</v>
      </c>
      <c r="AB145" s="20">
        <f t="shared" si="17"/>
        <v>0</v>
      </c>
      <c r="AC145" s="20">
        <f t="shared" si="17"/>
        <v>0</v>
      </c>
    </row>
    <row r="146" spans="15:29" hidden="1" x14ac:dyDescent="0.25">
      <c r="O146" s="326"/>
      <c r="P146" s="326"/>
      <c r="Q146" s="326"/>
      <c r="S146" s="43" t="s">
        <v>487</v>
      </c>
      <c r="T146" s="20">
        <v>0</v>
      </c>
      <c r="U146" s="20">
        <f t="shared" ref="U146:AC146" si="18">D47*$O$103</f>
        <v>0</v>
      </c>
      <c r="V146" s="20">
        <f t="shared" si="18"/>
        <v>0</v>
      </c>
      <c r="W146" s="20">
        <f t="shared" si="18"/>
        <v>0</v>
      </c>
      <c r="X146" s="20">
        <f t="shared" si="18"/>
        <v>0</v>
      </c>
      <c r="Y146" s="20">
        <f t="shared" si="18"/>
        <v>0</v>
      </c>
      <c r="Z146" s="20">
        <f t="shared" si="18"/>
        <v>0</v>
      </c>
      <c r="AA146" s="20">
        <f t="shared" si="18"/>
        <v>0</v>
      </c>
      <c r="AB146" s="20">
        <f t="shared" si="18"/>
        <v>0</v>
      </c>
      <c r="AC146" s="20">
        <f t="shared" si="18"/>
        <v>0</v>
      </c>
    </row>
    <row r="147" spans="15:29" hidden="1" x14ac:dyDescent="0.25">
      <c r="O147" s="326"/>
      <c r="P147" s="326"/>
      <c r="Q147" s="326"/>
      <c r="R147" s="325" t="s">
        <v>25</v>
      </c>
      <c r="S147" s="147"/>
      <c r="T147" s="147" t="s">
        <v>292</v>
      </c>
      <c r="U147" s="147" t="s">
        <v>293</v>
      </c>
      <c r="V147" s="147" t="s">
        <v>294</v>
      </c>
      <c r="W147" s="147" t="s">
        <v>295</v>
      </c>
      <c r="X147" s="147" t="s">
        <v>296</v>
      </c>
      <c r="Y147" s="147" t="s">
        <v>297</v>
      </c>
      <c r="Z147" s="147" t="s">
        <v>298</v>
      </c>
      <c r="AA147" s="147" t="s">
        <v>299</v>
      </c>
      <c r="AB147" s="147" t="s">
        <v>300</v>
      </c>
      <c r="AC147" s="147" t="s">
        <v>301</v>
      </c>
    </row>
    <row r="148" spans="15:29" hidden="1" x14ac:dyDescent="0.25">
      <c r="O148" s="326"/>
      <c r="P148" s="326"/>
      <c r="Q148" s="326"/>
      <c r="R148" s="325"/>
      <c r="S148" s="31" t="s">
        <v>473</v>
      </c>
      <c r="T148" s="147">
        <f t="shared" ref="T148:AC148" si="19">C47*C48*C49*T163</f>
        <v>0</v>
      </c>
      <c r="U148" s="147">
        <f t="shared" si="19"/>
        <v>0</v>
      </c>
      <c r="V148" s="147">
        <f t="shared" si="19"/>
        <v>0</v>
      </c>
      <c r="W148" s="147">
        <f t="shared" si="19"/>
        <v>0</v>
      </c>
      <c r="X148" s="147">
        <f t="shared" si="19"/>
        <v>0</v>
      </c>
      <c r="Y148" s="147">
        <f t="shared" si="19"/>
        <v>0</v>
      </c>
      <c r="Z148" s="147">
        <f t="shared" si="19"/>
        <v>0</v>
      </c>
      <c r="AA148" s="147">
        <f t="shared" si="19"/>
        <v>0</v>
      </c>
      <c r="AB148" s="147">
        <f t="shared" si="19"/>
        <v>0</v>
      </c>
      <c r="AC148" s="147">
        <f t="shared" si="19"/>
        <v>0</v>
      </c>
    </row>
    <row r="149" spans="15:29" hidden="1" x14ac:dyDescent="0.25">
      <c r="O149" s="326"/>
      <c r="P149" s="326"/>
      <c r="Q149" s="326"/>
      <c r="R149" s="325"/>
      <c r="S149" s="31" t="s">
        <v>92</v>
      </c>
      <c r="T149" s="147">
        <f t="shared" ref="T149:AC149" si="20">C47*C48*C49*T164 * 120/1000</f>
        <v>0</v>
      </c>
      <c r="U149" s="147">
        <f t="shared" si="20"/>
        <v>0</v>
      </c>
      <c r="V149" s="147">
        <f t="shared" si="20"/>
        <v>0</v>
      </c>
      <c r="W149" s="147">
        <f t="shared" si="20"/>
        <v>0</v>
      </c>
      <c r="X149" s="147">
        <f t="shared" si="20"/>
        <v>0</v>
      </c>
      <c r="Y149" s="147">
        <f t="shared" si="20"/>
        <v>0</v>
      </c>
      <c r="Z149" s="147">
        <f t="shared" si="20"/>
        <v>0</v>
      </c>
      <c r="AA149" s="147">
        <f t="shared" si="20"/>
        <v>0</v>
      </c>
      <c r="AB149" s="147">
        <f t="shared" si="20"/>
        <v>0</v>
      </c>
      <c r="AC149" s="147">
        <f t="shared" si="20"/>
        <v>0</v>
      </c>
    </row>
    <row r="150" spans="15:29" hidden="1" x14ac:dyDescent="0.25">
      <c r="O150" s="326"/>
      <c r="P150" s="326"/>
      <c r="Q150" s="326"/>
      <c r="R150" s="325"/>
      <c r="S150" s="32" t="s">
        <v>472</v>
      </c>
      <c r="T150" s="200">
        <f t="shared" ref="T150:AC150" si="21">(T157*C47/T160)+T167</f>
        <v>0</v>
      </c>
      <c r="U150" s="200">
        <f t="shared" si="21"/>
        <v>0</v>
      </c>
      <c r="V150" s="155">
        <f t="shared" si="21"/>
        <v>0</v>
      </c>
      <c r="W150" s="155">
        <f t="shared" si="21"/>
        <v>0</v>
      </c>
      <c r="X150" s="155">
        <f t="shared" si="21"/>
        <v>0</v>
      </c>
      <c r="Y150" s="155">
        <f t="shared" si="21"/>
        <v>0</v>
      </c>
      <c r="Z150" s="155">
        <f t="shared" si="21"/>
        <v>0</v>
      </c>
      <c r="AA150" s="155">
        <f t="shared" si="21"/>
        <v>0</v>
      </c>
      <c r="AB150" s="155">
        <f t="shared" si="21"/>
        <v>0</v>
      </c>
      <c r="AC150" s="155">
        <f t="shared" si="21"/>
        <v>0</v>
      </c>
    </row>
    <row r="151" spans="15:29" hidden="1" x14ac:dyDescent="0.25">
      <c r="R151" s="325"/>
      <c r="S151" s="32" t="s">
        <v>97</v>
      </c>
      <c r="T151" s="1">
        <f t="shared" ref="T151:AC151" si="22">(T158*C47/T161)+T166</f>
        <v>0</v>
      </c>
      <c r="U151" s="1">
        <f t="shared" si="22"/>
        <v>0</v>
      </c>
      <c r="V151" s="1">
        <f t="shared" si="22"/>
        <v>0</v>
      </c>
      <c r="W151" s="1">
        <f t="shared" si="22"/>
        <v>0</v>
      </c>
      <c r="X151" s="1">
        <f t="shared" si="22"/>
        <v>0</v>
      </c>
      <c r="Y151" s="1">
        <f t="shared" si="22"/>
        <v>0</v>
      </c>
      <c r="Z151" s="1">
        <f t="shared" si="22"/>
        <v>0</v>
      </c>
      <c r="AA151" s="1">
        <f t="shared" si="22"/>
        <v>0</v>
      </c>
      <c r="AB151" s="1">
        <f t="shared" si="22"/>
        <v>0</v>
      </c>
      <c r="AC151" s="1">
        <f t="shared" si="22"/>
        <v>0</v>
      </c>
    </row>
    <row r="152" spans="15:29" hidden="1" x14ac:dyDescent="0.25">
      <c r="R152" s="325"/>
      <c r="S152" s="32" t="s">
        <v>98</v>
      </c>
      <c r="T152" s="1">
        <f t="shared" ref="T152:AC152" si="23">(T159*C47/T162)+T166</f>
        <v>0</v>
      </c>
      <c r="U152" s="1">
        <f t="shared" si="23"/>
        <v>0</v>
      </c>
      <c r="V152" s="1">
        <f t="shared" si="23"/>
        <v>0</v>
      </c>
      <c r="W152" s="1">
        <f t="shared" si="23"/>
        <v>0</v>
      </c>
      <c r="X152" s="1">
        <f t="shared" si="23"/>
        <v>0</v>
      </c>
      <c r="Y152" s="1">
        <f t="shared" si="23"/>
        <v>0</v>
      </c>
      <c r="Z152" s="1">
        <f t="shared" si="23"/>
        <v>0</v>
      </c>
      <c r="AA152" s="1">
        <f t="shared" si="23"/>
        <v>0</v>
      </c>
      <c r="AB152" s="1">
        <f t="shared" si="23"/>
        <v>0</v>
      </c>
      <c r="AC152" s="1">
        <f t="shared" si="23"/>
        <v>0</v>
      </c>
    </row>
    <row r="153" spans="15:29" hidden="1" x14ac:dyDescent="0.25">
      <c r="R153" s="325"/>
      <c r="S153" s="31" t="s">
        <v>105</v>
      </c>
      <c r="T153" s="1">
        <f t="shared" ref="T153:AC153" si="24">T158*C47</f>
        <v>0</v>
      </c>
      <c r="U153" s="1">
        <f t="shared" si="24"/>
        <v>0</v>
      </c>
      <c r="V153" s="1">
        <f t="shared" si="24"/>
        <v>0</v>
      </c>
      <c r="W153" s="1">
        <f t="shared" si="24"/>
        <v>0</v>
      </c>
      <c r="X153" s="1">
        <f t="shared" si="24"/>
        <v>0</v>
      </c>
      <c r="Y153" s="1">
        <f t="shared" si="24"/>
        <v>0</v>
      </c>
      <c r="Z153" s="1">
        <f t="shared" si="24"/>
        <v>0</v>
      </c>
      <c r="AA153" s="1">
        <f t="shared" si="24"/>
        <v>0</v>
      </c>
      <c r="AB153" s="1">
        <f t="shared" si="24"/>
        <v>0</v>
      </c>
      <c r="AC153" s="1">
        <f t="shared" si="24"/>
        <v>0</v>
      </c>
    </row>
    <row r="154" spans="15:29" hidden="1" x14ac:dyDescent="0.25">
      <c r="R154" s="325"/>
      <c r="S154" s="31" t="s">
        <v>106</v>
      </c>
      <c r="T154" s="1">
        <f t="shared" ref="T154:AC154" si="25">T159*C47</f>
        <v>0</v>
      </c>
      <c r="U154" s="1">
        <f t="shared" si="25"/>
        <v>0</v>
      </c>
      <c r="V154" s="1">
        <f t="shared" si="25"/>
        <v>0</v>
      </c>
      <c r="W154" s="1">
        <f t="shared" si="25"/>
        <v>0</v>
      </c>
      <c r="X154" s="1">
        <f t="shared" si="25"/>
        <v>0</v>
      </c>
      <c r="Y154" s="1">
        <f t="shared" si="25"/>
        <v>0</v>
      </c>
      <c r="Z154" s="1">
        <f t="shared" si="25"/>
        <v>0</v>
      </c>
      <c r="AA154" s="1">
        <f t="shared" si="25"/>
        <v>0</v>
      </c>
      <c r="AB154" s="1">
        <f t="shared" si="25"/>
        <v>0</v>
      </c>
      <c r="AC154" s="1">
        <f t="shared" si="25"/>
        <v>0</v>
      </c>
    </row>
    <row r="155" spans="15:29" hidden="1" x14ac:dyDescent="0.25">
      <c r="R155" s="325"/>
      <c r="S155" s="31" t="s">
        <v>260</v>
      </c>
      <c r="T155" s="199">
        <f>IF(T165=2,T152,T151)</f>
        <v>0</v>
      </c>
      <c r="U155" s="199">
        <f t="shared" ref="U155:AC155" si="26">IF(U165=2,U152,U151)</f>
        <v>0</v>
      </c>
      <c r="V155" s="156">
        <f t="shared" si="26"/>
        <v>0</v>
      </c>
      <c r="W155" s="156">
        <f t="shared" si="26"/>
        <v>0</v>
      </c>
      <c r="X155" s="156">
        <f t="shared" si="26"/>
        <v>0</v>
      </c>
      <c r="Y155" s="156">
        <f t="shared" si="26"/>
        <v>0</v>
      </c>
      <c r="Z155" s="156">
        <f t="shared" si="26"/>
        <v>0</v>
      </c>
      <c r="AA155" s="156">
        <f t="shared" si="26"/>
        <v>0</v>
      </c>
      <c r="AB155" s="156">
        <f t="shared" si="26"/>
        <v>0</v>
      </c>
      <c r="AC155" s="156">
        <f t="shared" si="26"/>
        <v>0</v>
      </c>
    </row>
    <row r="156" spans="15:29" hidden="1" x14ac:dyDescent="0.25">
      <c r="R156" s="325"/>
      <c r="S156" s="31" t="s">
        <v>261</v>
      </c>
      <c r="T156" s="156">
        <f>IF(T165=2,T154,T153)</f>
        <v>0</v>
      </c>
      <c r="U156" s="156">
        <f>IF(U165=2,U154,U153)</f>
        <v>0</v>
      </c>
      <c r="V156" s="156">
        <f t="shared" ref="V156:AC156" si="27">IF(V165=2,V154,V153)</f>
        <v>0</v>
      </c>
      <c r="W156" s="156">
        <f t="shared" si="27"/>
        <v>0</v>
      </c>
      <c r="X156" s="156">
        <f t="shared" si="27"/>
        <v>0</v>
      </c>
      <c r="Y156" s="156">
        <f t="shared" si="27"/>
        <v>0</v>
      </c>
      <c r="Z156" s="156">
        <f t="shared" si="27"/>
        <v>0</v>
      </c>
      <c r="AA156" s="156">
        <f t="shared" si="27"/>
        <v>0</v>
      </c>
      <c r="AB156" s="156">
        <f t="shared" si="27"/>
        <v>0</v>
      </c>
      <c r="AC156" s="156">
        <f t="shared" si="27"/>
        <v>0</v>
      </c>
    </row>
    <row r="157" spans="15:29" hidden="1" x14ac:dyDescent="0.25">
      <c r="R157" s="325"/>
      <c r="S157" s="43" t="s">
        <v>109</v>
      </c>
      <c r="T157" s="1">
        <f t="shared" ref="T157:AC158" si="28">IF(COUNTBLANK(C53)=1,T136,C53)</f>
        <v>0</v>
      </c>
      <c r="U157" s="1">
        <f t="shared" si="28"/>
        <v>0</v>
      </c>
      <c r="V157" s="1">
        <f t="shared" si="28"/>
        <v>0</v>
      </c>
      <c r="W157" s="1">
        <f t="shared" si="28"/>
        <v>0</v>
      </c>
      <c r="X157" s="1">
        <f t="shared" si="28"/>
        <v>0</v>
      </c>
      <c r="Y157" s="1">
        <f t="shared" si="28"/>
        <v>0</v>
      </c>
      <c r="Z157" s="1">
        <f t="shared" si="28"/>
        <v>0</v>
      </c>
      <c r="AA157" s="1">
        <f t="shared" si="28"/>
        <v>0</v>
      </c>
      <c r="AB157" s="1">
        <f t="shared" si="28"/>
        <v>0</v>
      </c>
      <c r="AC157" s="1">
        <f t="shared" si="28"/>
        <v>0</v>
      </c>
    </row>
    <row r="158" spans="15:29" hidden="1" x14ac:dyDescent="0.25">
      <c r="R158" s="325"/>
      <c r="S158" s="43" t="s">
        <v>110</v>
      </c>
      <c r="T158" s="1">
        <f t="shared" si="28"/>
        <v>0</v>
      </c>
      <c r="U158" s="1">
        <f t="shared" si="28"/>
        <v>0</v>
      </c>
      <c r="V158" s="1">
        <f t="shared" si="28"/>
        <v>0</v>
      </c>
      <c r="W158" s="1">
        <f t="shared" si="28"/>
        <v>0</v>
      </c>
      <c r="X158" s="1">
        <f t="shared" si="28"/>
        <v>0</v>
      </c>
      <c r="Y158" s="1">
        <f t="shared" si="28"/>
        <v>0</v>
      </c>
      <c r="Z158" s="1">
        <f t="shared" si="28"/>
        <v>0</v>
      </c>
      <c r="AA158" s="1">
        <f t="shared" si="28"/>
        <v>0</v>
      </c>
      <c r="AB158" s="1">
        <f t="shared" si="28"/>
        <v>0</v>
      </c>
      <c r="AC158" s="1">
        <f t="shared" si="28"/>
        <v>0</v>
      </c>
    </row>
    <row r="159" spans="15:29" hidden="1" x14ac:dyDescent="0.25">
      <c r="R159" s="325"/>
      <c r="S159" s="43" t="s">
        <v>212</v>
      </c>
      <c r="T159" s="1">
        <f t="shared" ref="T159:AC159" si="29">IF(COUNTBLANK(C54)=1,T138,C54)</f>
        <v>0</v>
      </c>
      <c r="U159" s="1">
        <f t="shared" si="29"/>
        <v>0</v>
      </c>
      <c r="V159" s="1">
        <f t="shared" si="29"/>
        <v>0</v>
      </c>
      <c r="W159" s="1">
        <f t="shared" si="29"/>
        <v>0</v>
      </c>
      <c r="X159" s="1">
        <f t="shared" si="29"/>
        <v>0</v>
      </c>
      <c r="Y159" s="1">
        <f t="shared" si="29"/>
        <v>0</v>
      </c>
      <c r="Z159" s="1">
        <f t="shared" si="29"/>
        <v>0</v>
      </c>
      <c r="AA159" s="1">
        <f t="shared" si="29"/>
        <v>0</v>
      </c>
      <c r="AB159" s="1">
        <f t="shared" si="29"/>
        <v>0</v>
      </c>
      <c r="AC159" s="1">
        <f t="shared" si="29"/>
        <v>0</v>
      </c>
    </row>
    <row r="160" spans="15:29" hidden="1" x14ac:dyDescent="0.25">
      <c r="R160" s="325"/>
      <c r="S160" s="43" t="s">
        <v>111</v>
      </c>
      <c r="T160" s="101">
        <f t="shared" ref="T160:AC160" si="30">IF(COUNTBLANK(C51)=1,dfltplifetime,C51)</f>
        <v>3</v>
      </c>
      <c r="U160" s="101">
        <f t="shared" si="30"/>
        <v>3</v>
      </c>
      <c r="V160" s="101">
        <f t="shared" si="30"/>
        <v>3</v>
      </c>
      <c r="W160" s="101">
        <f t="shared" si="30"/>
        <v>3</v>
      </c>
      <c r="X160" s="101">
        <f t="shared" si="30"/>
        <v>3</v>
      </c>
      <c r="Y160" s="101">
        <f t="shared" si="30"/>
        <v>3</v>
      </c>
      <c r="Z160" s="101">
        <f t="shared" si="30"/>
        <v>3</v>
      </c>
      <c r="AA160" s="101">
        <f t="shared" si="30"/>
        <v>3</v>
      </c>
      <c r="AB160" s="101">
        <f t="shared" si="30"/>
        <v>3</v>
      </c>
      <c r="AC160" s="101">
        <f t="shared" si="30"/>
        <v>3</v>
      </c>
    </row>
    <row r="161" spans="15:30" hidden="1" x14ac:dyDescent="0.25">
      <c r="R161" s="325"/>
      <c r="S161" s="43" t="s">
        <v>112</v>
      </c>
      <c r="T161" s="115">
        <f t="shared" ref="T161:AC161" si="31">IF(COUNTBLANK(C52)=1,dfltcrdlifetime,C52)</f>
        <v>2</v>
      </c>
      <c r="U161" s="115">
        <f t="shared" si="31"/>
        <v>2</v>
      </c>
      <c r="V161" s="115">
        <f t="shared" si="31"/>
        <v>2</v>
      </c>
      <c r="W161" s="115">
        <f t="shared" si="31"/>
        <v>2</v>
      </c>
      <c r="X161" s="115">
        <f t="shared" si="31"/>
        <v>2</v>
      </c>
      <c r="Y161" s="115">
        <f t="shared" si="31"/>
        <v>2</v>
      </c>
      <c r="Z161" s="115">
        <f t="shared" si="31"/>
        <v>2</v>
      </c>
      <c r="AA161" s="115">
        <f t="shared" si="31"/>
        <v>2</v>
      </c>
      <c r="AB161" s="115">
        <f t="shared" si="31"/>
        <v>2</v>
      </c>
      <c r="AC161" s="115">
        <f t="shared" si="31"/>
        <v>2</v>
      </c>
    </row>
    <row r="162" spans="15:30" hidden="1" x14ac:dyDescent="0.25">
      <c r="R162" s="325"/>
      <c r="S162" s="43" t="s">
        <v>113</v>
      </c>
      <c r="T162" s="147">
        <f t="shared" ref="T162:AC162" si="32">IF(COUNTBLANK(C52)=1,dfltcrdlslifetime,C52)</f>
        <v>2</v>
      </c>
      <c r="U162" s="147">
        <f t="shared" si="32"/>
        <v>2</v>
      </c>
      <c r="V162" s="147">
        <f t="shared" si="32"/>
        <v>2</v>
      </c>
      <c r="W162" s="147">
        <f t="shared" si="32"/>
        <v>2</v>
      </c>
      <c r="X162" s="147">
        <f t="shared" si="32"/>
        <v>2</v>
      </c>
      <c r="Y162" s="147">
        <f t="shared" si="32"/>
        <v>2</v>
      </c>
      <c r="Z162" s="147">
        <f t="shared" si="32"/>
        <v>2</v>
      </c>
      <c r="AA162" s="147">
        <f t="shared" si="32"/>
        <v>2</v>
      </c>
      <c r="AB162" s="147">
        <f t="shared" si="32"/>
        <v>2</v>
      </c>
      <c r="AC162" s="147">
        <f t="shared" si="32"/>
        <v>2</v>
      </c>
    </row>
    <row r="163" spans="15:30" hidden="1" x14ac:dyDescent="0.25">
      <c r="R163" s="325"/>
      <c r="S163" s="43" t="s">
        <v>114</v>
      </c>
      <c r="T163" s="2">
        <f t="shared" ref="T163:AC164" si="33">IF(COUNTBLANK(C55)=1,T142,C55)</f>
        <v>0</v>
      </c>
      <c r="U163" s="2">
        <f t="shared" si="33"/>
        <v>0</v>
      </c>
      <c r="V163" s="2">
        <f t="shared" si="33"/>
        <v>0</v>
      </c>
      <c r="W163" s="2">
        <f t="shared" si="33"/>
        <v>0</v>
      </c>
      <c r="X163" s="2">
        <f t="shared" si="33"/>
        <v>0</v>
      </c>
      <c r="Y163" s="2">
        <f t="shared" si="33"/>
        <v>0</v>
      </c>
      <c r="Z163" s="2">
        <f t="shared" si="33"/>
        <v>0</v>
      </c>
      <c r="AA163" s="2">
        <f t="shared" si="33"/>
        <v>0</v>
      </c>
      <c r="AB163" s="2">
        <f t="shared" si="33"/>
        <v>0</v>
      </c>
      <c r="AC163" s="2">
        <f t="shared" si="33"/>
        <v>0</v>
      </c>
    </row>
    <row r="164" spans="15:30" hidden="1" x14ac:dyDescent="0.25">
      <c r="R164" s="325"/>
      <c r="S164" s="43" t="s">
        <v>115</v>
      </c>
      <c r="T164" s="2">
        <f t="shared" si="33"/>
        <v>0</v>
      </c>
      <c r="U164" s="2">
        <f t="shared" si="33"/>
        <v>0</v>
      </c>
      <c r="V164" s="2">
        <f t="shared" si="33"/>
        <v>0</v>
      </c>
      <c r="W164" s="2">
        <f t="shared" si="33"/>
        <v>0</v>
      </c>
      <c r="X164" s="2">
        <f t="shared" si="33"/>
        <v>0</v>
      </c>
      <c r="Y164" s="2">
        <f t="shared" si="33"/>
        <v>0</v>
      </c>
      <c r="Z164" s="2">
        <f t="shared" si="33"/>
        <v>0</v>
      </c>
      <c r="AA164" s="2">
        <f t="shared" si="33"/>
        <v>0</v>
      </c>
      <c r="AB164" s="2">
        <f t="shared" si="33"/>
        <v>0</v>
      </c>
      <c r="AC164" s="2">
        <f t="shared" si="33"/>
        <v>0</v>
      </c>
    </row>
    <row r="165" spans="15:30" hidden="1" x14ac:dyDescent="0.25">
      <c r="R165" s="325"/>
      <c r="S165" s="43" t="s">
        <v>223</v>
      </c>
      <c r="T165" s="147">
        <f t="shared" ref="T165:AC165" si="34">IF(COUNTA(C50)=0,-1,IF(C50="Unsure",0,IF(C50="Corded",1,2)))</f>
        <v>-1</v>
      </c>
      <c r="U165" s="147">
        <f t="shared" si="34"/>
        <v>-1</v>
      </c>
      <c r="V165" s="147">
        <f t="shared" si="34"/>
        <v>-1</v>
      </c>
      <c r="W165" s="147">
        <f t="shared" si="34"/>
        <v>-1</v>
      </c>
      <c r="X165" s="147">
        <f t="shared" si="34"/>
        <v>-1</v>
      </c>
      <c r="Y165" s="147">
        <f t="shared" si="34"/>
        <v>-1</v>
      </c>
      <c r="Z165" s="147">
        <f t="shared" si="34"/>
        <v>-1</v>
      </c>
      <c r="AA165" s="147">
        <f t="shared" si="34"/>
        <v>-1</v>
      </c>
      <c r="AB165" s="147">
        <f t="shared" si="34"/>
        <v>-1</v>
      </c>
      <c r="AC165" s="147">
        <f t="shared" si="34"/>
        <v>-1</v>
      </c>
    </row>
    <row r="166" spans="15:30" hidden="1" x14ac:dyDescent="0.25">
      <c r="S166" s="43" t="s">
        <v>489</v>
      </c>
      <c r="T166" s="20">
        <f t="shared" ref="T166:AC166" si="35">IF(COUNTBLANK(C58)=1,T145,C58*C47)</f>
        <v>0</v>
      </c>
      <c r="U166" s="20">
        <f t="shared" si="35"/>
        <v>0</v>
      </c>
      <c r="V166" s="20">
        <f t="shared" si="35"/>
        <v>0</v>
      </c>
      <c r="W166" s="20">
        <f t="shared" si="35"/>
        <v>0</v>
      </c>
      <c r="X166" s="20">
        <f t="shared" si="35"/>
        <v>0</v>
      </c>
      <c r="Y166" s="20">
        <f t="shared" si="35"/>
        <v>0</v>
      </c>
      <c r="Z166" s="20">
        <f t="shared" si="35"/>
        <v>0</v>
      </c>
      <c r="AA166" s="20">
        <f t="shared" si="35"/>
        <v>0</v>
      </c>
      <c r="AB166" s="20">
        <f t="shared" si="35"/>
        <v>0</v>
      </c>
      <c r="AC166" s="20">
        <f t="shared" si="35"/>
        <v>0</v>
      </c>
    </row>
    <row r="167" spans="15:30" hidden="1" x14ac:dyDescent="0.25">
      <c r="O167" s="147"/>
      <c r="P167" s="147"/>
      <c r="Q167" s="147"/>
      <c r="R167" s="147"/>
      <c r="S167" s="43" t="s">
        <v>488</v>
      </c>
      <c r="T167" s="20">
        <f t="shared" ref="T167:AC167" si="36">IF(COUNTBLANK(C57)=1,T146,C57*C47)</f>
        <v>0</v>
      </c>
      <c r="U167" s="20">
        <f t="shared" si="36"/>
        <v>0</v>
      </c>
      <c r="V167" s="20">
        <f t="shared" si="36"/>
        <v>0</v>
      </c>
      <c r="W167" s="20">
        <f t="shared" si="36"/>
        <v>0</v>
      </c>
      <c r="X167" s="20">
        <f t="shared" si="36"/>
        <v>0</v>
      </c>
      <c r="Y167" s="20">
        <f t="shared" si="36"/>
        <v>0</v>
      </c>
      <c r="Z167" s="20">
        <f t="shared" si="36"/>
        <v>0</v>
      </c>
      <c r="AA167" s="20">
        <f t="shared" si="36"/>
        <v>0</v>
      </c>
      <c r="AB167" s="20">
        <f t="shared" si="36"/>
        <v>0</v>
      </c>
      <c r="AC167" s="20">
        <f t="shared" si="36"/>
        <v>0</v>
      </c>
      <c r="AD167" s="147"/>
    </row>
    <row r="168" spans="15:30" hidden="1" x14ac:dyDescent="0.25">
      <c r="S168" s="147"/>
      <c r="T168" s="147" t="s">
        <v>481</v>
      </c>
      <c r="U168" s="147" t="s">
        <v>482</v>
      </c>
      <c r="W168" t="s">
        <v>479</v>
      </c>
      <c r="Y168">
        <f>IF(specpow&lt;=0,0,1)</f>
        <v>0</v>
      </c>
    </row>
    <row r="169" spans="15:30" hidden="1" x14ac:dyDescent="0.25">
      <c r="S169" s="1" t="s">
        <v>319</v>
      </c>
      <c r="T169" s="1">
        <f>SUM($T$148:$AC$148)*dftcost/(1-dftleak)*30/100</f>
        <v>0</v>
      </c>
      <c r="U169" s="1">
        <f>SUM($T$148:$AC$148)*dftcost/(1-dftleak)*specpow/100</f>
        <v>0</v>
      </c>
      <c r="W169" t="s">
        <v>480</v>
      </c>
      <c r="Y169">
        <f>IF(COUNT(C51:L56)&gt;0,1,0)</f>
        <v>0</v>
      </c>
    </row>
    <row r="170" spans="15:30" hidden="1" x14ac:dyDescent="0.25">
      <c r="S170" s="1" t="s">
        <v>313</v>
      </c>
      <c r="T170" s="1">
        <f>SUM($T$148:$AC$148)*dftcost/(1-dftleak)*25/100</f>
        <v>0</v>
      </c>
      <c r="U170" s="1">
        <f>SUM($T$148:$AC$148)*dftcost/(1-dftleak)*specpow/100</f>
        <v>0</v>
      </c>
    </row>
    <row r="171" spans="15:30" hidden="1" x14ac:dyDescent="0.25">
      <c r="S171" s="1" t="s">
        <v>314</v>
      </c>
      <c r="T171" s="1">
        <f>SUM($T$148:$AC$148)*dftcost/(1-dftleak)*20/100</f>
        <v>0</v>
      </c>
      <c r="U171" s="1">
        <f>SUM($T$148:$AC$148)*dftcost/(1-dftleak)*specpow/100</f>
        <v>0</v>
      </c>
    </row>
    <row r="172" spans="15:30" hidden="1" x14ac:dyDescent="0.25">
      <c r="S172" s="1" t="s">
        <v>307</v>
      </c>
      <c r="T172" s="1">
        <f>SUM(T128:AC128)*dftcost</f>
        <v>0</v>
      </c>
      <c r="U172" s="1">
        <f>SUM(T149:AD149)*dftcost</f>
        <v>0</v>
      </c>
    </row>
    <row r="173" spans="15:30" hidden="1" x14ac:dyDescent="0.25">
      <c r="S173" s="1" t="s">
        <v>61</v>
      </c>
      <c r="T173" s="1">
        <f>SUM(T129:AC129)</f>
        <v>0</v>
      </c>
      <c r="U173" s="1">
        <f>SUM(T150:AC150)</f>
        <v>0</v>
      </c>
    </row>
    <row r="174" spans="15:30" hidden="1" x14ac:dyDescent="0.25">
      <c r="S174" s="1" t="s">
        <v>316</v>
      </c>
      <c r="T174" s="1">
        <f>SUM(T134:AC134)</f>
        <v>0</v>
      </c>
      <c r="U174" s="1">
        <f>SUM(T155:AC155)</f>
        <v>0</v>
      </c>
    </row>
    <row r="175" spans="15:30" hidden="1" x14ac:dyDescent="0.25">
      <c r="S175" s="1" t="s">
        <v>315</v>
      </c>
      <c r="T175" s="1">
        <f>SUM(T135:AC135)</f>
        <v>0</v>
      </c>
      <c r="U175" s="1">
        <f>SUM(T156:AC156)</f>
        <v>0</v>
      </c>
    </row>
    <row r="176" spans="15:30" hidden="1" x14ac:dyDescent="0.25">
      <c r="S176" s="1" t="s">
        <v>320</v>
      </c>
      <c r="T176" s="114">
        <f>T169-$T$172+$T$173-$T$174</f>
        <v>0</v>
      </c>
      <c r="U176" s="114" t="str">
        <f>IF(specpow&lt;=0,"N/A",$U$169-$U$172+$U$173-$U$174)</f>
        <v>N/A</v>
      </c>
    </row>
    <row r="177" spans="19:28" hidden="1" x14ac:dyDescent="0.25">
      <c r="S177" s="1" t="s">
        <v>317</v>
      </c>
      <c r="T177" s="114">
        <f>T170-$T$172+$T$173-$T$174</f>
        <v>0</v>
      </c>
      <c r="U177" s="114" t="str">
        <f>IF(specpow&lt;=0,"N/A",$U$169-$U$172+$U$173-$U$174)</f>
        <v>N/A</v>
      </c>
    </row>
    <row r="178" spans="19:28" hidden="1" x14ac:dyDescent="0.25">
      <c r="S178" s="1" t="s">
        <v>318</v>
      </c>
      <c r="T178" s="114">
        <f>T171-$T$172+$T$173-$T$174</f>
        <v>0</v>
      </c>
      <c r="U178" s="114" t="str">
        <f>IF(specpow&lt;=0,"N/A",$U$169-$U$172+$U$173-$U$174)</f>
        <v>N/A</v>
      </c>
    </row>
    <row r="179" spans="19:28" hidden="1" x14ac:dyDescent="0.25">
      <c r="S179" s="1" t="s">
        <v>519</v>
      </c>
      <c r="T179" s="14" t="e">
        <f>IF(($T$175/T176)*12&lt;0,"Loss",($T$175/T176)*12)</f>
        <v>#DIV/0!</v>
      </c>
      <c r="U179" s="14">
        <f>IFERROR(IF(($U$175/$U$176)*12&lt;0,"Loss",($U$175/$U$176)*12),0)</f>
        <v>0</v>
      </c>
    </row>
    <row r="180" spans="19:28" hidden="1" x14ac:dyDescent="0.25">
      <c r="S180" s="1" t="s">
        <v>520</v>
      </c>
      <c r="T180" s="14" t="e">
        <f>IF(($T$175/T177)*12&lt;0,"Loss",($T$175/T177)*12)</f>
        <v>#DIV/0!</v>
      </c>
      <c r="U180" s="14">
        <f>IFERROR(IF(($U$175/$U$176)*12&lt;0,"Loss",($U$175/$U$176)*12),0)</f>
        <v>0</v>
      </c>
    </row>
    <row r="181" spans="19:28" hidden="1" x14ac:dyDescent="0.25">
      <c r="S181" s="1" t="s">
        <v>521</v>
      </c>
      <c r="T181" s="14" t="e">
        <f>IF(($T$175/T178)*12&lt;0,"Loss",($T$175/T178)*12)</f>
        <v>#DIV/0!</v>
      </c>
      <c r="U181" s="14">
        <f>IFERROR(IF(($U$175/$U$176)*12&lt;0,"Loss",($U$175/$U$176)*12),0)</f>
        <v>0</v>
      </c>
    </row>
    <row r="182" spans="19:28" hidden="1" x14ac:dyDescent="0.25">
      <c r="S182" s="1" t="s">
        <v>475</v>
      </c>
      <c r="T182" s="42">
        <f>(0.000703)*((T171/dftcost)-(T172/dftcost))</f>
        <v>0</v>
      </c>
      <c r="U182" s="42">
        <f>IF(specpow&lt;=0,0,(0.000703)*((U170/dftcost)-(U172/dftcost)))</f>
        <v>0</v>
      </c>
    </row>
    <row r="183" spans="19:28" hidden="1" x14ac:dyDescent="0.25">
      <c r="S183" s="1" t="s">
        <v>476</v>
      </c>
      <c r="T183" s="42">
        <f>(0.000703)*((T169/dftcost)-(T172/dftcost))</f>
        <v>0</v>
      </c>
      <c r="U183" s="42">
        <f>IF(specpow&lt;=0,0,(0.000703)*((U171/dftcost)-(U172/dftcost)))</f>
        <v>0</v>
      </c>
    </row>
    <row r="184" spans="19:28" hidden="1" x14ac:dyDescent="0.25"/>
    <row r="185" spans="19:28" hidden="1" x14ac:dyDescent="0.25">
      <c r="S185" s="147" t="s">
        <v>321</v>
      </c>
      <c r="T185" s="147" t="s">
        <v>310</v>
      </c>
      <c r="U185" s="147"/>
      <c r="V185" s="147"/>
    </row>
    <row r="186" spans="19:28" hidden="1" x14ac:dyDescent="0.25">
      <c r="S186" s="147" t="s">
        <v>311</v>
      </c>
      <c r="T186" s="147" t="s">
        <v>498</v>
      </c>
      <c r="U186" s="147" t="s">
        <v>2</v>
      </c>
      <c r="V186" s="147" t="s">
        <v>497</v>
      </c>
      <c r="W186" t="s">
        <v>513</v>
      </c>
      <c r="Y186" t="s">
        <v>477</v>
      </c>
      <c r="AB186" s="158">
        <f>T187*-3</f>
        <v>0</v>
      </c>
    </row>
    <row r="187" spans="19:28" hidden="1" x14ac:dyDescent="0.25">
      <c r="S187">
        <v>0</v>
      </c>
      <c r="T187" s="114">
        <f>-$U$175</f>
        <v>0</v>
      </c>
      <c r="U187" s="114">
        <f>-$U$175</f>
        <v>0</v>
      </c>
      <c r="V187" s="114">
        <f>-$U$175</f>
        <v>0</v>
      </c>
      <c r="W187" s="114">
        <f>IF(specpow&lt;=0,0,-U175)</f>
        <v>0</v>
      </c>
      <c r="Y187" t="s">
        <v>478</v>
      </c>
      <c r="AB187" s="158">
        <f>T187*-3</f>
        <v>0</v>
      </c>
    </row>
    <row r="188" spans="19:28" hidden="1" x14ac:dyDescent="0.25">
      <c r="S188">
        <v>1</v>
      </c>
      <c r="T188" s="114">
        <f t="shared" ref="T188:T219" si="37">T187+($T$176/12)</f>
        <v>0</v>
      </c>
      <c r="U188" s="114">
        <f t="shared" ref="U188:U219" si="38">U187+($T$177/12)</f>
        <v>0</v>
      </c>
      <c r="V188" s="114">
        <f t="shared" ref="V188:V219" si="39">V187+($T$178/12)</f>
        <v>0</v>
      </c>
      <c r="W188" s="114">
        <f t="shared" ref="W188:W219" si="40">IF(specpow&lt;=0,0,W187+($U$177/12))</f>
        <v>0</v>
      </c>
    </row>
    <row r="189" spans="19:28" hidden="1" x14ac:dyDescent="0.25">
      <c r="S189">
        <v>2</v>
      </c>
      <c r="T189" s="114">
        <f t="shared" si="37"/>
        <v>0</v>
      </c>
      <c r="U189" s="114">
        <f t="shared" si="38"/>
        <v>0</v>
      </c>
      <c r="V189" s="114">
        <f t="shared" si="39"/>
        <v>0</v>
      </c>
      <c r="W189" s="114">
        <f t="shared" si="40"/>
        <v>0</v>
      </c>
    </row>
    <row r="190" spans="19:28" hidden="1" x14ac:dyDescent="0.25">
      <c r="S190">
        <v>3</v>
      </c>
      <c r="T190" s="114">
        <f t="shared" si="37"/>
        <v>0</v>
      </c>
      <c r="U190" s="114">
        <f t="shared" si="38"/>
        <v>0</v>
      </c>
      <c r="V190" s="114">
        <f t="shared" si="39"/>
        <v>0</v>
      </c>
      <c r="W190" s="114">
        <f t="shared" si="40"/>
        <v>0</v>
      </c>
    </row>
    <row r="191" spans="19:28" hidden="1" x14ac:dyDescent="0.25">
      <c r="S191" s="147">
        <v>4</v>
      </c>
      <c r="T191" s="114">
        <f t="shared" si="37"/>
        <v>0</v>
      </c>
      <c r="U191" s="114">
        <f t="shared" si="38"/>
        <v>0</v>
      </c>
      <c r="V191" s="114">
        <f t="shared" si="39"/>
        <v>0</v>
      </c>
      <c r="W191" s="114">
        <f t="shared" si="40"/>
        <v>0</v>
      </c>
    </row>
    <row r="192" spans="19:28" hidden="1" x14ac:dyDescent="0.25">
      <c r="S192" s="147">
        <v>5</v>
      </c>
      <c r="T192" s="114">
        <f t="shared" si="37"/>
        <v>0</v>
      </c>
      <c r="U192" s="114">
        <f t="shared" si="38"/>
        <v>0</v>
      </c>
      <c r="V192" s="114">
        <f t="shared" si="39"/>
        <v>0</v>
      </c>
      <c r="W192" s="114">
        <f t="shared" si="40"/>
        <v>0</v>
      </c>
    </row>
    <row r="193" spans="19:23" hidden="1" x14ac:dyDescent="0.25">
      <c r="S193" s="147">
        <v>6</v>
      </c>
      <c r="T193" s="114">
        <f t="shared" si="37"/>
        <v>0</v>
      </c>
      <c r="U193" s="114">
        <f t="shared" si="38"/>
        <v>0</v>
      </c>
      <c r="V193" s="114">
        <f t="shared" si="39"/>
        <v>0</v>
      </c>
      <c r="W193" s="114">
        <f t="shared" si="40"/>
        <v>0</v>
      </c>
    </row>
    <row r="194" spans="19:23" hidden="1" x14ac:dyDescent="0.25">
      <c r="S194" s="147">
        <v>7</v>
      </c>
      <c r="T194" s="114">
        <f t="shared" si="37"/>
        <v>0</v>
      </c>
      <c r="U194" s="114">
        <f t="shared" si="38"/>
        <v>0</v>
      </c>
      <c r="V194" s="114">
        <f t="shared" si="39"/>
        <v>0</v>
      </c>
      <c r="W194" s="114">
        <f t="shared" si="40"/>
        <v>0</v>
      </c>
    </row>
    <row r="195" spans="19:23" hidden="1" x14ac:dyDescent="0.25">
      <c r="S195" s="147">
        <v>8</v>
      </c>
      <c r="T195" s="114">
        <f t="shared" si="37"/>
        <v>0</v>
      </c>
      <c r="U195" s="114">
        <f t="shared" si="38"/>
        <v>0</v>
      </c>
      <c r="V195" s="114">
        <f t="shared" si="39"/>
        <v>0</v>
      </c>
      <c r="W195" s="114">
        <f t="shared" si="40"/>
        <v>0</v>
      </c>
    </row>
    <row r="196" spans="19:23" hidden="1" x14ac:dyDescent="0.25">
      <c r="S196" s="147">
        <v>9</v>
      </c>
      <c r="T196" s="114">
        <f t="shared" si="37"/>
        <v>0</v>
      </c>
      <c r="U196" s="114">
        <f t="shared" si="38"/>
        <v>0</v>
      </c>
      <c r="V196" s="114">
        <f t="shared" si="39"/>
        <v>0</v>
      </c>
      <c r="W196" s="114">
        <f t="shared" si="40"/>
        <v>0</v>
      </c>
    </row>
    <row r="197" spans="19:23" hidden="1" x14ac:dyDescent="0.25">
      <c r="S197" s="147">
        <v>10</v>
      </c>
      <c r="T197" s="114">
        <f t="shared" si="37"/>
        <v>0</v>
      </c>
      <c r="U197" s="114">
        <f t="shared" si="38"/>
        <v>0</v>
      </c>
      <c r="V197" s="114">
        <f t="shared" si="39"/>
        <v>0</v>
      </c>
      <c r="W197" s="114">
        <f t="shared" si="40"/>
        <v>0</v>
      </c>
    </row>
    <row r="198" spans="19:23" hidden="1" x14ac:dyDescent="0.25">
      <c r="S198" s="147">
        <v>11</v>
      </c>
      <c r="T198" s="114">
        <f t="shared" si="37"/>
        <v>0</v>
      </c>
      <c r="U198" s="114">
        <f t="shared" si="38"/>
        <v>0</v>
      </c>
      <c r="V198" s="114">
        <f t="shared" si="39"/>
        <v>0</v>
      </c>
      <c r="W198" s="114">
        <f t="shared" si="40"/>
        <v>0</v>
      </c>
    </row>
    <row r="199" spans="19:23" hidden="1" x14ac:dyDescent="0.25">
      <c r="S199" s="147">
        <v>12</v>
      </c>
      <c r="T199" s="114">
        <f t="shared" si="37"/>
        <v>0</v>
      </c>
      <c r="U199" s="114">
        <f t="shared" si="38"/>
        <v>0</v>
      </c>
      <c r="V199" s="114">
        <f t="shared" si="39"/>
        <v>0</v>
      </c>
      <c r="W199" s="114">
        <f t="shared" si="40"/>
        <v>0</v>
      </c>
    </row>
    <row r="200" spans="19:23" hidden="1" x14ac:dyDescent="0.25">
      <c r="S200" s="147">
        <v>13</v>
      </c>
      <c r="T200" s="114">
        <f t="shared" si="37"/>
        <v>0</v>
      </c>
      <c r="U200" s="114">
        <f t="shared" si="38"/>
        <v>0</v>
      </c>
      <c r="V200" s="114">
        <f t="shared" si="39"/>
        <v>0</v>
      </c>
      <c r="W200" s="114">
        <f t="shared" si="40"/>
        <v>0</v>
      </c>
    </row>
    <row r="201" spans="19:23" hidden="1" x14ac:dyDescent="0.25">
      <c r="S201" s="147">
        <v>14</v>
      </c>
      <c r="T201" s="114">
        <f t="shared" si="37"/>
        <v>0</v>
      </c>
      <c r="U201" s="114">
        <f t="shared" si="38"/>
        <v>0</v>
      </c>
      <c r="V201" s="114">
        <f t="shared" si="39"/>
        <v>0</v>
      </c>
      <c r="W201" s="114">
        <f t="shared" si="40"/>
        <v>0</v>
      </c>
    </row>
    <row r="202" spans="19:23" hidden="1" x14ac:dyDescent="0.25">
      <c r="S202" s="147">
        <v>15</v>
      </c>
      <c r="T202" s="114">
        <f t="shared" si="37"/>
        <v>0</v>
      </c>
      <c r="U202" s="114">
        <f t="shared" si="38"/>
        <v>0</v>
      </c>
      <c r="V202" s="114">
        <f t="shared" si="39"/>
        <v>0</v>
      </c>
      <c r="W202" s="114">
        <f t="shared" si="40"/>
        <v>0</v>
      </c>
    </row>
    <row r="203" spans="19:23" hidden="1" x14ac:dyDescent="0.25">
      <c r="S203" s="147">
        <v>16</v>
      </c>
      <c r="T203" s="114">
        <f t="shared" si="37"/>
        <v>0</v>
      </c>
      <c r="U203" s="114">
        <f t="shared" si="38"/>
        <v>0</v>
      </c>
      <c r="V203" s="114">
        <f t="shared" si="39"/>
        <v>0</v>
      </c>
      <c r="W203" s="114">
        <f t="shared" si="40"/>
        <v>0</v>
      </c>
    </row>
    <row r="204" spans="19:23" hidden="1" x14ac:dyDescent="0.25">
      <c r="S204" s="147">
        <v>17</v>
      </c>
      <c r="T204" s="114">
        <f t="shared" si="37"/>
        <v>0</v>
      </c>
      <c r="U204" s="114">
        <f t="shared" si="38"/>
        <v>0</v>
      </c>
      <c r="V204" s="114">
        <f t="shared" si="39"/>
        <v>0</v>
      </c>
      <c r="W204" s="114">
        <f t="shared" si="40"/>
        <v>0</v>
      </c>
    </row>
    <row r="205" spans="19:23" hidden="1" x14ac:dyDescent="0.25">
      <c r="S205" s="147">
        <v>18</v>
      </c>
      <c r="T205" s="114">
        <f t="shared" si="37"/>
        <v>0</v>
      </c>
      <c r="U205" s="114">
        <f t="shared" si="38"/>
        <v>0</v>
      </c>
      <c r="V205" s="114">
        <f t="shared" si="39"/>
        <v>0</v>
      </c>
      <c r="W205" s="114">
        <f t="shared" si="40"/>
        <v>0</v>
      </c>
    </row>
    <row r="206" spans="19:23" hidden="1" x14ac:dyDescent="0.25">
      <c r="S206" s="147">
        <v>19</v>
      </c>
      <c r="T206" s="114">
        <f t="shared" si="37"/>
        <v>0</v>
      </c>
      <c r="U206" s="114">
        <f t="shared" si="38"/>
        <v>0</v>
      </c>
      <c r="V206" s="114">
        <f t="shared" si="39"/>
        <v>0</v>
      </c>
      <c r="W206" s="114">
        <f t="shared" si="40"/>
        <v>0</v>
      </c>
    </row>
    <row r="207" spans="19:23" hidden="1" x14ac:dyDescent="0.25">
      <c r="S207" s="147">
        <v>20</v>
      </c>
      <c r="T207" s="114">
        <f t="shared" si="37"/>
        <v>0</v>
      </c>
      <c r="U207" s="114">
        <f t="shared" si="38"/>
        <v>0</v>
      </c>
      <c r="V207" s="114">
        <f t="shared" si="39"/>
        <v>0</v>
      </c>
      <c r="W207" s="114">
        <f t="shared" si="40"/>
        <v>0</v>
      </c>
    </row>
    <row r="208" spans="19:23" hidden="1" x14ac:dyDescent="0.25">
      <c r="S208" s="147">
        <v>21</v>
      </c>
      <c r="T208" s="114">
        <f t="shared" si="37"/>
        <v>0</v>
      </c>
      <c r="U208" s="114">
        <f t="shared" si="38"/>
        <v>0</v>
      </c>
      <c r="V208" s="114">
        <f t="shared" si="39"/>
        <v>0</v>
      </c>
      <c r="W208" s="114">
        <f t="shared" si="40"/>
        <v>0</v>
      </c>
    </row>
    <row r="209" spans="19:23" hidden="1" x14ac:dyDescent="0.25">
      <c r="S209" s="147">
        <v>22</v>
      </c>
      <c r="T209" s="114">
        <f t="shared" si="37"/>
        <v>0</v>
      </c>
      <c r="U209" s="114">
        <f t="shared" si="38"/>
        <v>0</v>
      </c>
      <c r="V209" s="114">
        <f t="shared" si="39"/>
        <v>0</v>
      </c>
      <c r="W209" s="114">
        <f t="shared" si="40"/>
        <v>0</v>
      </c>
    </row>
    <row r="210" spans="19:23" hidden="1" x14ac:dyDescent="0.25">
      <c r="S210" s="147">
        <v>23</v>
      </c>
      <c r="T210" s="114">
        <f t="shared" si="37"/>
        <v>0</v>
      </c>
      <c r="U210" s="114">
        <f t="shared" si="38"/>
        <v>0</v>
      </c>
      <c r="V210" s="114">
        <f t="shared" si="39"/>
        <v>0</v>
      </c>
      <c r="W210" s="114">
        <f t="shared" si="40"/>
        <v>0</v>
      </c>
    </row>
    <row r="211" spans="19:23" hidden="1" x14ac:dyDescent="0.25">
      <c r="S211" s="147">
        <v>24</v>
      </c>
      <c r="T211" s="114">
        <f t="shared" si="37"/>
        <v>0</v>
      </c>
      <c r="U211" s="114">
        <f t="shared" si="38"/>
        <v>0</v>
      </c>
      <c r="V211" s="114">
        <f t="shared" si="39"/>
        <v>0</v>
      </c>
      <c r="W211" s="114">
        <f t="shared" si="40"/>
        <v>0</v>
      </c>
    </row>
    <row r="212" spans="19:23" hidden="1" x14ac:dyDescent="0.25">
      <c r="S212" s="147">
        <v>25</v>
      </c>
      <c r="T212" s="114">
        <f t="shared" si="37"/>
        <v>0</v>
      </c>
      <c r="U212" s="114">
        <f t="shared" si="38"/>
        <v>0</v>
      </c>
      <c r="V212" s="114">
        <f t="shared" si="39"/>
        <v>0</v>
      </c>
      <c r="W212" s="114">
        <f t="shared" si="40"/>
        <v>0</v>
      </c>
    </row>
    <row r="213" spans="19:23" hidden="1" x14ac:dyDescent="0.25">
      <c r="S213" s="147">
        <v>26</v>
      </c>
      <c r="T213" s="114">
        <f t="shared" si="37"/>
        <v>0</v>
      </c>
      <c r="U213" s="114">
        <f t="shared" si="38"/>
        <v>0</v>
      </c>
      <c r="V213" s="114">
        <f t="shared" si="39"/>
        <v>0</v>
      </c>
      <c r="W213" s="114">
        <f t="shared" si="40"/>
        <v>0</v>
      </c>
    </row>
    <row r="214" spans="19:23" hidden="1" x14ac:dyDescent="0.25">
      <c r="S214" s="147">
        <v>27</v>
      </c>
      <c r="T214" s="114">
        <f t="shared" si="37"/>
        <v>0</v>
      </c>
      <c r="U214" s="114">
        <f t="shared" si="38"/>
        <v>0</v>
      </c>
      <c r="V214" s="114">
        <f t="shared" si="39"/>
        <v>0</v>
      </c>
      <c r="W214" s="114">
        <f t="shared" si="40"/>
        <v>0</v>
      </c>
    </row>
    <row r="215" spans="19:23" hidden="1" x14ac:dyDescent="0.25">
      <c r="S215" s="147">
        <v>28</v>
      </c>
      <c r="T215" s="114">
        <f t="shared" si="37"/>
        <v>0</v>
      </c>
      <c r="U215" s="114">
        <f t="shared" si="38"/>
        <v>0</v>
      </c>
      <c r="V215" s="114">
        <f t="shared" si="39"/>
        <v>0</v>
      </c>
      <c r="W215" s="114">
        <f t="shared" si="40"/>
        <v>0</v>
      </c>
    </row>
    <row r="216" spans="19:23" hidden="1" x14ac:dyDescent="0.25">
      <c r="S216" s="147">
        <v>29</v>
      </c>
      <c r="T216" s="114">
        <f t="shared" si="37"/>
        <v>0</v>
      </c>
      <c r="U216" s="114">
        <f t="shared" si="38"/>
        <v>0</v>
      </c>
      <c r="V216" s="114">
        <f t="shared" si="39"/>
        <v>0</v>
      </c>
      <c r="W216" s="114">
        <f t="shared" si="40"/>
        <v>0</v>
      </c>
    </row>
    <row r="217" spans="19:23" hidden="1" x14ac:dyDescent="0.25">
      <c r="S217" s="147">
        <v>30</v>
      </c>
      <c r="T217" s="114">
        <f t="shared" si="37"/>
        <v>0</v>
      </c>
      <c r="U217" s="114">
        <f t="shared" si="38"/>
        <v>0</v>
      </c>
      <c r="V217" s="114">
        <f t="shared" si="39"/>
        <v>0</v>
      </c>
      <c r="W217" s="114">
        <f t="shared" si="40"/>
        <v>0</v>
      </c>
    </row>
    <row r="218" spans="19:23" hidden="1" x14ac:dyDescent="0.25">
      <c r="S218" s="147">
        <v>31</v>
      </c>
      <c r="T218" s="114">
        <f t="shared" si="37"/>
        <v>0</v>
      </c>
      <c r="U218" s="114">
        <f t="shared" si="38"/>
        <v>0</v>
      </c>
      <c r="V218" s="114">
        <f t="shared" si="39"/>
        <v>0</v>
      </c>
      <c r="W218" s="114">
        <f t="shared" si="40"/>
        <v>0</v>
      </c>
    </row>
    <row r="219" spans="19:23" hidden="1" x14ac:dyDescent="0.25">
      <c r="S219" s="147">
        <v>32</v>
      </c>
      <c r="T219" s="114">
        <f t="shared" si="37"/>
        <v>0</v>
      </c>
      <c r="U219" s="114">
        <f t="shared" si="38"/>
        <v>0</v>
      </c>
      <c r="V219" s="114">
        <f t="shared" si="39"/>
        <v>0</v>
      </c>
      <c r="W219" s="114">
        <f t="shared" si="40"/>
        <v>0</v>
      </c>
    </row>
    <row r="220" spans="19:23" hidden="1" x14ac:dyDescent="0.25">
      <c r="S220" s="147">
        <v>33</v>
      </c>
      <c r="T220" s="114">
        <f t="shared" ref="T220:T247" si="41">T219+($T$176/12)</f>
        <v>0</v>
      </c>
      <c r="U220" s="114">
        <f t="shared" ref="U220:U247" si="42">U219+($T$177/12)</f>
        <v>0</v>
      </c>
      <c r="V220" s="114">
        <f t="shared" ref="V220:V247" si="43">V219+($T$178/12)</f>
        <v>0</v>
      </c>
      <c r="W220" s="114">
        <f t="shared" ref="W220:W247" si="44">IF(specpow&lt;=0,0,W219+($U$177/12))</f>
        <v>0</v>
      </c>
    </row>
    <row r="221" spans="19:23" hidden="1" x14ac:dyDescent="0.25">
      <c r="S221" s="147">
        <v>34</v>
      </c>
      <c r="T221" s="114">
        <f t="shared" si="41"/>
        <v>0</v>
      </c>
      <c r="U221" s="114">
        <f t="shared" si="42"/>
        <v>0</v>
      </c>
      <c r="V221" s="114">
        <f t="shared" si="43"/>
        <v>0</v>
      </c>
      <c r="W221" s="114">
        <f t="shared" si="44"/>
        <v>0</v>
      </c>
    </row>
    <row r="222" spans="19:23" hidden="1" x14ac:dyDescent="0.25">
      <c r="S222" s="147">
        <v>35</v>
      </c>
      <c r="T222" s="114">
        <f t="shared" si="41"/>
        <v>0</v>
      </c>
      <c r="U222" s="114">
        <f t="shared" si="42"/>
        <v>0</v>
      </c>
      <c r="V222" s="114">
        <f t="shared" si="43"/>
        <v>0</v>
      </c>
      <c r="W222" s="114">
        <f t="shared" si="44"/>
        <v>0</v>
      </c>
    </row>
    <row r="223" spans="19:23" hidden="1" x14ac:dyDescent="0.25">
      <c r="S223" s="147">
        <v>36</v>
      </c>
      <c r="T223" s="114">
        <f t="shared" si="41"/>
        <v>0</v>
      </c>
      <c r="U223" s="114">
        <f t="shared" si="42"/>
        <v>0</v>
      </c>
      <c r="V223" s="114">
        <f t="shared" si="43"/>
        <v>0</v>
      </c>
      <c r="W223" s="114">
        <f t="shared" si="44"/>
        <v>0</v>
      </c>
    </row>
    <row r="224" spans="19:23" hidden="1" x14ac:dyDescent="0.25">
      <c r="S224" s="147">
        <v>37</v>
      </c>
      <c r="T224" s="114">
        <f t="shared" si="41"/>
        <v>0</v>
      </c>
      <c r="U224" s="114">
        <f t="shared" si="42"/>
        <v>0</v>
      </c>
      <c r="V224" s="114">
        <f t="shared" si="43"/>
        <v>0</v>
      </c>
      <c r="W224" s="114">
        <f t="shared" si="44"/>
        <v>0</v>
      </c>
    </row>
    <row r="225" spans="19:23" hidden="1" x14ac:dyDescent="0.25">
      <c r="S225" s="147">
        <v>38</v>
      </c>
      <c r="T225" s="114">
        <f t="shared" si="41"/>
        <v>0</v>
      </c>
      <c r="U225" s="114">
        <f t="shared" si="42"/>
        <v>0</v>
      </c>
      <c r="V225" s="114">
        <f t="shared" si="43"/>
        <v>0</v>
      </c>
      <c r="W225" s="114">
        <f t="shared" si="44"/>
        <v>0</v>
      </c>
    </row>
    <row r="226" spans="19:23" hidden="1" x14ac:dyDescent="0.25">
      <c r="S226" s="147">
        <v>39</v>
      </c>
      <c r="T226" s="114">
        <f t="shared" si="41"/>
        <v>0</v>
      </c>
      <c r="U226" s="114">
        <f t="shared" si="42"/>
        <v>0</v>
      </c>
      <c r="V226" s="114">
        <f t="shared" si="43"/>
        <v>0</v>
      </c>
      <c r="W226" s="114">
        <f t="shared" si="44"/>
        <v>0</v>
      </c>
    </row>
    <row r="227" spans="19:23" hidden="1" x14ac:dyDescent="0.25">
      <c r="S227" s="147">
        <v>40</v>
      </c>
      <c r="T227" s="114">
        <f t="shared" si="41"/>
        <v>0</v>
      </c>
      <c r="U227" s="114">
        <f t="shared" si="42"/>
        <v>0</v>
      </c>
      <c r="V227" s="114">
        <f t="shared" si="43"/>
        <v>0</v>
      </c>
      <c r="W227" s="114">
        <f t="shared" si="44"/>
        <v>0</v>
      </c>
    </row>
    <row r="228" spans="19:23" hidden="1" x14ac:dyDescent="0.25">
      <c r="S228" s="147">
        <v>41</v>
      </c>
      <c r="T228" s="114">
        <f t="shared" si="41"/>
        <v>0</v>
      </c>
      <c r="U228" s="114">
        <f t="shared" si="42"/>
        <v>0</v>
      </c>
      <c r="V228" s="114">
        <f t="shared" si="43"/>
        <v>0</v>
      </c>
      <c r="W228" s="114">
        <f t="shared" si="44"/>
        <v>0</v>
      </c>
    </row>
    <row r="229" spans="19:23" hidden="1" x14ac:dyDescent="0.25">
      <c r="S229" s="147">
        <v>42</v>
      </c>
      <c r="T229" s="114">
        <f t="shared" si="41"/>
        <v>0</v>
      </c>
      <c r="U229" s="114">
        <f t="shared" si="42"/>
        <v>0</v>
      </c>
      <c r="V229" s="114">
        <f t="shared" si="43"/>
        <v>0</v>
      </c>
      <c r="W229" s="114">
        <f t="shared" si="44"/>
        <v>0</v>
      </c>
    </row>
    <row r="230" spans="19:23" hidden="1" x14ac:dyDescent="0.25">
      <c r="S230" s="147">
        <v>43</v>
      </c>
      <c r="T230" s="114">
        <f t="shared" si="41"/>
        <v>0</v>
      </c>
      <c r="U230" s="114">
        <f t="shared" si="42"/>
        <v>0</v>
      </c>
      <c r="V230" s="114">
        <f t="shared" si="43"/>
        <v>0</v>
      </c>
      <c r="W230" s="114">
        <f t="shared" si="44"/>
        <v>0</v>
      </c>
    </row>
    <row r="231" spans="19:23" hidden="1" x14ac:dyDescent="0.25">
      <c r="S231" s="147">
        <v>44</v>
      </c>
      <c r="T231" s="114">
        <f t="shared" si="41"/>
        <v>0</v>
      </c>
      <c r="U231" s="114">
        <f t="shared" si="42"/>
        <v>0</v>
      </c>
      <c r="V231" s="114">
        <f t="shared" si="43"/>
        <v>0</v>
      </c>
      <c r="W231" s="114">
        <f t="shared" si="44"/>
        <v>0</v>
      </c>
    </row>
    <row r="232" spans="19:23" hidden="1" x14ac:dyDescent="0.25">
      <c r="S232" s="147">
        <v>45</v>
      </c>
      <c r="T232" s="114">
        <f t="shared" si="41"/>
        <v>0</v>
      </c>
      <c r="U232" s="114">
        <f t="shared" si="42"/>
        <v>0</v>
      </c>
      <c r="V232" s="114">
        <f t="shared" si="43"/>
        <v>0</v>
      </c>
      <c r="W232" s="114">
        <f t="shared" si="44"/>
        <v>0</v>
      </c>
    </row>
    <row r="233" spans="19:23" hidden="1" x14ac:dyDescent="0.25">
      <c r="S233" s="147">
        <v>46</v>
      </c>
      <c r="T233" s="114">
        <f t="shared" si="41"/>
        <v>0</v>
      </c>
      <c r="U233" s="114">
        <f t="shared" si="42"/>
        <v>0</v>
      </c>
      <c r="V233" s="114">
        <f t="shared" si="43"/>
        <v>0</v>
      </c>
      <c r="W233" s="114">
        <f t="shared" si="44"/>
        <v>0</v>
      </c>
    </row>
    <row r="234" spans="19:23" hidden="1" x14ac:dyDescent="0.25">
      <c r="S234" s="147">
        <v>47</v>
      </c>
      <c r="T234" s="114">
        <f t="shared" si="41"/>
        <v>0</v>
      </c>
      <c r="U234" s="114">
        <f t="shared" si="42"/>
        <v>0</v>
      </c>
      <c r="V234" s="114">
        <f t="shared" si="43"/>
        <v>0</v>
      </c>
      <c r="W234" s="114">
        <f t="shared" si="44"/>
        <v>0</v>
      </c>
    </row>
    <row r="235" spans="19:23" hidden="1" x14ac:dyDescent="0.25">
      <c r="S235" s="147">
        <v>48</v>
      </c>
      <c r="T235" s="114">
        <f t="shared" si="41"/>
        <v>0</v>
      </c>
      <c r="U235" s="114">
        <f t="shared" si="42"/>
        <v>0</v>
      </c>
      <c r="V235" s="114">
        <f t="shared" si="43"/>
        <v>0</v>
      </c>
      <c r="W235" s="114">
        <f t="shared" si="44"/>
        <v>0</v>
      </c>
    </row>
    <row r="236" spans="19:23" hidden="1" x14ac:dyDescent="0.25">
      <c r="S236" s="147">
        <v>49</v>
      </c>
      <c r="T236" s="114">
        <f t="shared" si="41"/>
        <v>0</v>
      </c>
      <c r="U236" s="114">
        <f t="shared" si="42"/>
        <v>0</v>
      </c>
      <c r="V236" s="114">
        <f t="shared" si="43"/>
        <v>0</v>
      </c>
      <c r="W236" s="114">
        <f t="shared" si="44"/>
        <v>0</v>
      </c>
    </row>
    <row r="237" spans="19:23" hidden="1" x14ac:dyDescent="0.25">
      <c r="S237" s="147">
        <v>50</v>
      </c>
      <c r="T237" s="114">
        <f t="shared" si="41"/>
        <v>0</v>
      </c>
      <c r="U237" s="114">
        <f t="shared" si="42"/>
        <v>0</v>
      </c>
      <c r="V237" s="114">
        <f t="shared" si="43"/>
        <v>0</v>
      </c>
      <c r="W237" s="114">
        <f t="shared" si="44"/>
        <v>0</v>
      </c>
    </row>
    <row r="238" spans="19:23" hidden="1" x14ac:dyDescent="0.25">
      <c r="S238" s="147">
        <v>51</v>
      </c>
      <c r="T238" s="114">
        <f t="shared" si="41"/>
        <v>0</v>
      </c>
      <c r="U238" s="114">
        <f t="shared" si="42"/>
        <v>0</v>
      </c>
      <c r="V238" s="114">
        <f t="shared" si="43"/>
        <v>0</v>
      </c>
      <c r="W238" s="114">
        <f t="shared" si="44"/>
        <v>0</v>
      </c>
    </row>
    <row r="239" spans="19:23" hidden="1" x14ac:dyDescent="0.25">
      <c r="S239" s="147">
        <v>52</v>
      </c>
      <c r="T239" s="114">
        <f t="shared" si="41"/>
        <v>0</v>
      </c>
      <c r="U239" s="114">
        <f t="shared" si="42"/>
        <v>0</v>
      </c>
      <c r="V239" s="114">
        <f t="shared" si="43"/>
        <v>0</v>
      </c>
      <c r="W239" s="114">
        <f t="shared" si="44"/>
        <v>0</v>
      </c>
    </row>
    <row r="240" spans="19:23" hidden="1" x14ac:dyDescent="0.25">
      <c r="S240" s="147">
        <v>53</v>
      </c>
      <c r="T240" s="114">
        <f t="shared" si="41"/>
        <v>0</v>
      </c>
      <c r="U240" s="114">
        <f t="shared" si="42"/>
        <v>0</v>
      </c>
      <c r="V240" s="114">
        <f t="shared" si="43"/>
        <v>0</v>
      </c>
      <c r="W240" s="114">
        <f t="shared" si="44"/>
        <v>0</v>
      </c>
    </row>
    <row r="241" spans="19:23" hidden="1" x14ac:dyDescent="0.25">
      <c r="S241" s="147">
        <v>54</v>
      </c>
      <c r="T241" s="114">
        <f t="shared" si="41"/>
        <v>0</v>
      </c>
      <c r="U241" s="114">
        <f t="shared" si="42"/>
        <v>0</v>
      </c>
      <c r="V241" s="114">
        <f t="shared" si="43"/>
        <v>0</v>
      </c>
      <c r="W241" s="114">
        <f t="shared" si="44"/>
        <v>0</v>
      </c>
    </row>
    <row r="242" spans="19:23" hidden="1" x14ac:dyDescent="0.25">
      <c r="S242" s="147">
        <v>55</v>
      </c>
      <c r="T242" s="114">
        <f t="shared" si="41"/>
        <v>0</v>
      </c>
      <c r="U242" s="114">
        <f t="shared" si="42"/>
        <v>0</v>
      </c>
      <c r="V242" s="114">
        <f t="shared" si="43"/>
        <v>0</v>
      </c>
      <c r="W242" s="114">
        <f t="shared" si="44"/>
        <v>0</v>
      </c>
    </row>
    <row r="243" spans="19:23" hidden="1" x14ac:dyDescent="0.25">
      <c r="S243" s="147">
        <v>56</v>
      </c>
      <c r="T243" s="114">
        <f t="shared" si="41"/>
        <v>0</v>
      </c>
      <c r="U243" s="114">
        <f t="shared" si="42"/>
        <v>0</v>
      </c>
      <c r="V243" s="114">
        <f t="shared" si="43"/>
        <v>0</v>
      </c>
      <c r="W243" s="114">
        <f t="shared" si="44"/>
        <v>0</v>
      </c>
    </row>
    <row r="244" spans="19:23" hidden="1" x14ac:dyDescent="0.25">
      <c r="S244" s="147">
        <v>57</v>
      </c>
      <c r="T244" s="114">
        <f t="shared" si="41"/>
        <v>0</v>
      </c>
      <c r="U244" s="114">
        <f t="shared" si="42"/>
        <v>0</v>
      </c>
      <c r="V244" s="114">
        <f t="shared" si="43"/>
        <v>0</v>
      </c>
      <c r="W244" s="114">
        <f t="shared" si="44"/>
        <v>0</v>
      </c>
    </row>
    <row r="245" spans="19:23" hidden="1" x14ac:dyDescent="0.25">
      <c r="S245" s="147">
        <v>58</v>
      </c>
      <c r="T245" s="114">
        <f t="shared" si="41"/>
        <v>0</v>
      </c>
      <c r="U245" s="114">
        <f t="shared" si="42"/>
        <v>0</v>
      </c>
      <c r="V245" s="114">
        <f t="shared" si="43"/>
        <v>0</v>
      </c>
      <c r="W245" s="114">
        <f t="shared" si="44"/>
        <v>0</v>
      </c>
    </row>
    <row r="246" spans="19:23" hidden="1" x14ac:dyDescent="0.25">
      <c r="S246" s="147">
        <v>59</v>
      </c>
      <c r="T246" s="114">
        <f t="shared" si="41"/>
        <v>0</v>
      </c>
      <c r="U246" s="114">
        <f t="shared" si="42"/>
        <v>0</v>
      </c>
      <c r="V246" s="114">
        <f t="shared" si="43"/>
        <v>0</v>
      </c>
      <c r="W246" s="114">
        <f t="shared" si="44"/>
        <v>0</v>
      </c>
    </row>
    <row r="247" spans="19:23" hidden="1" x14ac:dyDescent="0.25">
      <c r="S247" s="147">
        <v>60</v>
      </c>
      <c r="T247" s="114">
        <f t="shared" si="41"/>
        <v>0</v>
      </c>
      <c r="U247" s="114">
        <f t="shared" si="42"/>
        <v>0</v>
      </c>
      <c r="V247" s="114">
        <f t="shared" si="43"/>
        <v>0</v>
      </c>
      <c r="W247" s="114">
        <f t="shared" si="44"/>
        <v>0</v>
      </c>
    </row>
    <row r="248" spans="19:23" hidden="1" x14ac:dyDescent="0.25"/>
    <row r="249" spans="19:23" hidden="1" x14ac:dyDescent="0.25"/>
  </sheetData>
  <sheetProtection password="C53C" sheet="1" objects="1" scenarios="1" selectLockedCells="1"/>
  <mergeCells count="52">
    <mergeCell ref="O127:Q138"/>
    <mergeCell ref="A23:L25"/>
    <mergeCell ref="A65:A67"/>
    <mergeCell ref="R127:R145"/>
    <mergeCell ref="R147:R165"/>
    <mergeCell ref="O145:Q150"/>
    <mergeCell ref="A80:E81"/>
    <mergeCell ref="A72:E73"/>
    <mergeCell ref="B83:B84"/>
    <mergeCell ref="H93:L94"/>
    <mergeCell ref="H95:L100"/>
    <mergeCell ref="A87:A88"/>
    <mergeCell ref="B87:B88"/>
    <mergeCell ref="C87:C88"/>
    <mergeCell ref="D87:D88"/>
    <mergeCell ref="E87:E88"/>
    <mergeCell ref="A26:L27"/>
    <mergeCell ref="A59:L60"/>
    <mergeCell ref="A9:L10"/>
    <mergeCell ref="A39:L40"/>
    <mergeCell ref="F36:H36"/>
    <mergeCell ref="I36:K36"/>
    <mergeCell ref="A42:L43"/>
    <mergeCell ref="B15:E15"/>
    <mergeCell ref="B13:E13"/>
    <mergeCell ref="B19:E19"/>
    <mergeCell ref="B20:E20"/>
    <mergeCell ref="A2:L3"/>
    <mergeCell ref="A1:L1"/>
    <mergeCell ref="B16:E16"/>
    <mergeCell ref="B17:E17"/>
    <mergeCell ref="B18:E18"/>
    <mergeCell ref="B12:E12"/>
    <mergeCell ref="A6:L7"/>
    <mergeCell ref="B14:E14"/>
    <mergeCell ref="C62:F63"/>
    <mergeCell ref="A62:B64"/>
    <mergeCell ref="G62:I63"/>
    <mergeCell ref="A85:A86"/>
    <mergeCell ref="B85:B86"/>
    <mergeCell ref="C83:C84"/>
    <mergeCell ref="D83:D84"/>
    <mergeCell ref="E83:E84"/>
    <mergeCell ref="C85:C86"/>
    <mergeCell ref="D85:D86"/>
    <mergeCell ref="E85:E86"/>
    <mergeCell ref="A82:A84"/>
    <mergeCell ref="A90:A94"/>
    <mergeCell ref="A74:A75"/>
    <mergeCell ref="H72:L73"/>
    <mergeCell ref="C64:E64"/>
    <mergeCell ref="G64:I64"/>
  </mergeCells>
  <dataValidations count="30">
    <dataValidation type="list" allowBlank="1" showInputMessage="1" showErrorMessage="1" sqref="L31">
      <formula1>c_10psi</formula1>
    </dataValidation>
    <dataValidation type="list" allowBlank="1" showInputMessage="1" showErrorMessage="1" sqref="G32">
      <formula1>c_5type</formula1>
    </dataValidation>
    <dataValidation type="list" allowBlank="1" showInputMessage="1" showErrorMessage="1" sqref="C33:L33">
      <formula1>"Unsure,Load/Unload,Variable Speed Drive, Inlet Modulating, Variable Displacement, On/Off"</formula1>
    </dataValidation>
    <dataValidation type="list" allowBlank="1" showInputMessage="1" showErrorMessage="1" sqref="C34:L34">
      <formula1>"Unsure,0%,10%,20%,30%,40%,50%,60%,70%,80%,90%,100%"</formula1>
    </dataValidation>
    <dataValidation type="whole" allowBlank="1" showInputMessage="1" showErrorMessage="1" sqref="C47:L47">
      <formula1>0</formula1>
      <formula2>10000</formula2>
    </dataValidation>
    <dataValidation type="whole" allowBlank="1" showInputMessage="1" showErrorMessage="1" sqref="C49:L49">
      <formula1>0</formula1>
      <formula2>365</formula2>
    </dataValidation>
    <dataValidation type="decimal" allowBlank="1" showInputMessage="1" showErrorMessage="1" sqref="C48:L48">
      <formula1>0</formula1>
      <formula2>24</formula2>
    </dataValidation>
    <dataValidation type="list" allowBlank="1" showInputMessage="1" showErrorMessage="1" sqref="C32">
      <formula1>c_1type</formula1>
    </dataValidation>
    <dataValidation type="list" allowBlank="1" showInputMessage="1" showErrorMessage="1" sqref="C30:L30">
      <formula1>c_allhp</formula1>
    </dataValidation>
    <dataValidation type="list" allowBlank="1" showInputMessage="1" showErrorMessage="1" sqref="C31">
      <formula1>c_1psi</formula1>
    </dataValidation>
    <dataValidation type="list" allowBlank="1" showInputMessage="1" showErrorMessage="1" sqref="D31">
      <formula1>c_2psi</formula1>
    </dataValidation>
    <dataValidation type="list" allowBlank="1" showInputMessage="1" showErrorMessage="1" sqref="D32">
      <formula1>c_2type</formula1>
    </dataValidation>
    <dataValidation type="list" allowBlank="1" showInputMessage="1" showErrorMessage="1" sqref="E31">
      <formula1>c_3psi</formula1>
    </dataValidation>
    <dataValidation type="list" allowBlank="1" showInputMessage="1" showErrorMessage="1" sqref="F31">
      <formula1>c_4psi</formula1>
    </dataValidation>
    <dataValidation type="list" allowBlank="1" showInputMessage="1" showErrorMessage="1" sqref="G31">
      <formula1>c_5psi</formula1>
    </dataValidation>
    <dataValidation type="list" allowBlank="1" showInputMessage="1" showErrorMessage="1" sqref="H31">
      <formula1>c_6psi</formula1>
    </dataValidation>
    <dataValidation type="list" allowBlank="1" showInputMessage="1" showErrorMessage="1" sqref="I31">
      <formula1>c_7psi</formula1>
    </dataValidation>
    <dataValidation type="list" allowBlank="1" showInputMessage="1" showErrorMessage="1" sqref="J31">
      <formula1>c_8psi</formula1>
    </dataValidation>
    <dataValidation type="list" allowBlank="1" showInputMessage="1" showErrorMessage="1" sqref="K31">
      <formula1>c_9psi</formula1>
    </dataValidation>
    <dataValidation type="list" allowBlank="1" showInputMessage="1" showErrorMessage="1" sqref="E32">
      <formula1>c_3type</formula1>
    </dataValidation>
    <dataValidation type="list" allowBlank="1" showInputMessage="1" showErrorMessage="1" sqref="F32">
      <formula1>c_4type</formula1>
    </dataValidation>
    <dataValidation type="list" allowBlank="1" showInputMessage="1" showErrorMessage="1" sqref="H32">
      <formula1>c_6type</formula1>
    </dataValidation>
    <dataValidation type="list" allowBlank="1" showInputMessage="1" showErrorMessage="1" sqref="I32">
      <formula1>c_7type</formula1>
    </dataValidation>
    <dataValidation type="list" allowBlank="1" showInputMessage="1" showErrorMessage="1" sqref="J32">
      <formula1>c_8type</formula1>
    </dataValidation>
    <dataValidation type="list" allowBlank="1" showInputMessage="1" showErrorMessage="1" sqref="K32">
      <formula1>c_9type</formula1>
    </dataValidation>
    <dataValidation type="list" allowBlank="1" showInputMessage="1" showErrorMessage="1" sqref="L32">
      <formula1>c_10type</formula1>
    </dataValidation>
    <dataValidation type="decimal" allowBlank="1" showInputMessage="1" showErrorMessage="1" sqref="C51:L52">
      <formula1>0</formula1>
      <formula2>15</formula2>
    </dataValidation>
    <dataValidation type="decimal" allowBlank="1" showInputMessage="1" showErrorMessage="1" sqref="C53:L54">
      <formula1>0</formula1>
      <formula2>10000</formula2>
    </dataValidation>
    <dataValidation type="decimal" allowBlank="1" showInputMessage="1" showErrorMessage="1" sqref="C55:L55">
      <formula1>0</formula1>
      <formula2>500</formula2>
    </dataValidation>
    <dataValidation type="decimal" allowBlank="1" showInputMessage="1" showErrorMessage="1" sqref="C56:L56">
      <formula1>0</formula1>
      <formula2>30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Consumption!$AX$13:$AX$16</xm:f>
          </x14:formula1>
          <xm:sqref>C50:L50</xm:sqref>
        </x14:dataValidation>
        <x14:dataValidation type="list" allowBlank="1" showInputMessage="1" showErrorMessage="1">
          <x14:formula1>
            <xm:f>Consumption!$A$2:$A$20</xm:f>
          </x14:formula1>
          <xm:sqref>D46:L46</xm:sqref>
        </x14:dataValidation>
        <x14:dataValidation type="list" allowBlank="1" showInputMessage="1" showErrorMessage="1">
          <x14:formula1>
            <xm:f>Consumption!$A$5:$A$20</xm:f>
          </x14:formula1>
          <xm:sqref>C46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N29"/>
  <sheetViews>
    <sheetView topLeftCell="A4" workbookViewId="0">
      <selection activeCell="D26" sqref="D26"/>
    </sheetView>
  </sheetViews>
  <sheetFormatPr defaultRowHeight="15" x14ac:dyDescent="0.25"/>
  <cols>
    <col min="1" max="1" width="95.7109375" customWidth="1"/>
    <col min="2" max="2" width="12.28515625" bestFit="1" customWidth="1"/>
    <col min="3" max="3" width="14.28515625" customWidth="1"/>
    <col min="4" max="4" width="18.28515625" customWidth="1"/>
    <col min="5" max="5" width="15.28515625" customWidth="1"/>
    <col min="6" max="6" width="12.85546875" customWidth="1"/>
    <col min="7" max="7" width="17.42578125" customWidth="1"/>
    <col min="8" max="9" width="12.28515625" customWidth="1"/>
    <col min="10" max="10" width="11.85546875" customWidth="1"/>
  </cols>
  <sheetData>
    <row r="1" spans="1:14" ht="75.75" customHeight="1" x14ac:dyDescent="0.25">
      <c r="A1" s="305" t="s">
        <v>251</v>
      </c>
      <c r="B1" s="305"/>
      <c r="C1" s="305"/>
      <c r="D1" s="78"/>
      <c r="E1" s="28"/>
      <c r="F1" s="28"/>
      <c r="G1" s="28"/>
      <c r="H1" s="28"/>
      <c r="I1" s="2"/>
      <c r="J1" s="2"/>
      <c r="K1" s="2"/>
      <c r="L1" s="2"/>
      <c r="M1" s="2"/>
      <c r="N1" s="2"/>
    </row>
    <row r="2" spans="1:14" ht="14.45" customHeight="1" x14ac:dyDescent="0.25"/>
    <row r="3" spans="1:14" x14ac:dyDescent="0.25">
      <c r="A3" s="91" t="s">
        <v>259</v>
      </c>
      <c r="B3" s="91" t="s">
        <v>66</v>
      </c>
      <c r="C3" s="91" t="s">
        <v>67</v>
      </c>
    </row>
    <row r="4" spans="1:14" ht="30" customHeight="1" x14ac:dyDescent="0.25">
      <c r="A4" s="79" t="s">
        <v>274</v>
      </c>
      <c r="B4" s="25"/>
      <c r="C4" s="25" t="s">
        <v>77</v>
      </c>
      <c r="D4" t="str">
        <f t="shared" ref="D4:D10" si="0">IF(COUNTA(B4)=0,C4,B4)</f>
        <v>No</v>
      </c>
    </row>
    <row r="5" spans="1:14" x14ac:dyDescent="0.25">
      <c r="A5" s="93" t="s">
        <v>76</v>
      </c>
      <c r="B5" s="39"/>
      <c r="C5" s="39">
        <v>0</v>
      </c>
      <c r="D5">
        <f t="shared" si="0"/>
        <v>0</v>
      </c>
    </row>
    <row r="6" spans="1:14" x14ac:dyDescent="0.25">
      <c r="A6" s="94" t="s">
        <v>57</v>
      </c>
      <c r="B6" s="40"/>
      <c r="C6" s="25">
        <v>10</v>
      </c>
      <c r="D6">
        <f t="shared" si="0"/>
        <v>10</v>
      </c>
    </row>
    <row r="7" spans="1:14" x14ac:dyDescent="0.25">
      <c r="A7" s="82" t="s">
        <v>5</v>
      </c>
      <c r="B7" s="38"/>
      <c r="C7" s="35">
        <v>0.2</v>
      </c>
      <c r="D7">
        <f t="shared" si="0"/>
        <v>0.2</v>
      </c>
      <c r="E7" s="28"/>
    </row>
    <row r="8" spans="1:14" ht="14.45" customHeight="1" x14ac:dyDescent="0.25">
      <c r="A8" s="94" t="s">
        <v>89</v>
      </c>
      <c r="B8" s="25"/>
      <c r="C8" s="25">
        <v>0</v>
      </c>
      <c r="D8">
        <f t="shared" si="0"/>
        <v>0</v>
      </c>
    </row>
    <row r="9" spans="1:14" ht="27.6" customHeight="1" x14ac:dyDescent="0.25">
      <c r="A9" s="83" t="s">
        <v>214</v>
      </c>
      <c r="B9" s="25"/>
      <c r="C9" s="25" t="s">
        <v>77</v>
      </c>
      <c r="D9" t="str">
        <f t="shared" si="0"/>
        <v>No</v>
      </c>
    </row>
    <row r="10" spans="1:14" ht="28.9" customHeight="1" x14ac:dyDescent="0.25">
      <c r="A10" s="83" t="s">
        <v>221</v>
      </c>
      <c r="B10" s="72"/>
      <c r="C10" s="39">
        <v>0</v>
      </c>
      <c r="D10">
        <f t="shared" si="0"/>
        <v>0</v>
      </c>
    </row>
    <row r="11" spans="1:14" ht="17.45" customHeight="1" x14ac:dyDescent="0.25"/>
    <row r="12" spans="1:14" ht="18.600000000000001" customHeight="1" x14ac:dyDescent="0.25">
      <c r="A12" s="92" t="s">
        <v>258</v>
      </c>
      <c r="B12" s="92" t="s">
        <v>66</v>
      </c>
      <c r="C12" s="92" t="s">
        <v>67</v>
      </c>
      <c r="E12" s="66"/>
      <c r="F12" s="66"/>
      <c r="G12" s="66"/>
      <c r="H12" s="66"/>
      <c r="I12" s="66"/>
      <c r="J12" s="41"/>
    </row>
    <row r="13" spans="1:14" ht="19.149999999999999" customHeight="1" x14ac:dyDescent="0.25">
      <c r="A13" s="87" t="s">
        <v>215</v>
      </c>
      <c r="B13" s="73"/>
      <c r="C13" s="39">
        <v>85</v>
      </c>
      <c r="D13">
        <f>IF(COUNTA(B13)=0,C13,B13)</f>
        <v>85</v>
      </c>
      <c r="E13" s="66"/>
      <c r="F13" s="66"/>
      <c r="G13" s="66"/>
      <c r="H13" s="66"/>
      <c r="I13" s="66"/>
      <c r="J13" s="21"/>
    </row>
    <row r="14" spans="1:14" ht="14.45" customHeight="1" x14ac:dyDescent="0.25">
      <c r="A14" s="87" t="s">
        <v>131</v>
      </c>
      <c r="B14" s="25">
        <v>1.5</v>
      </c>
      <c r="C14" s="25">
        <v>1</v>
      </c>
      <c r="D14">
        <f>IF(COUNTA(B14)=0,C14,B14)</f>
        <v>1.5</v>
      </c>
      <c r="E14" s="66"/>
      <c r="F14" s="66"/>
      <c r="G14" s="66"/>
      <c r="H14" s="66"/>
      <c r="I14" s="66"/>
    </row>
    <row r="15" spans="1:14" ht="15.6" customHeight="1" x14ac:dyDescent="0.25">
      <c r="A15" s="25" t="s">
        <v>277</v>
      </c>
      <c r="B15" s="25"/>
      <c r="C15" s="25">
        <v>3.75</v>
      </c>
      <c r="D15">
        <f t="shared" ref="D15:D21" si="1">IF(COUNTA(B15)=0,C15,B15)</f>
        <v>3.75</v>
      </c>
      <c r="E15" s="66"/>
      <c r="F15" s="66"/>
      <c r="G15" s="66"/>
      <c r="H15" s="66"/>
      <c r="I15" s="66"/>
    </row>
    <row r="16" spans="1:14" ht="14.45" customHeight="1" x14ac:dyDescent="0.25">
      <c r="A16" s="74" t="s">
        <v>216</v>
      </c>
      <c r="B16" s="39"/>
      <c r="C16" s="39">
        <f>IF(COUNTA(J16)&gt;0,J16,B16)</f>
        <v>0</v>
      </c>
      <c r="D16">
        <f t="shared" si="1"/>
        <v>0</v>
      </c>
      <c r="E16" s="67"/>
      <c r="F16" s="67"/>
      <c r="G16" s="67"/>
      <c r="H16" s="67"/>
      <c r="I16" s="67"/>
    </row>
    <row r="17" spans="1:9" ht="14.45" customHeight="1" x14ac:dyDescent="0.25">
      <c r="A17" s="75" t="s">
        <v>217</v>
      </c>
      <c r="B17" s="39"/>
      <c r="C17" s="39">
        <f>IF(COUNTA(J17)&gt;0,J17,B17)</f>
        <v>0</v>
      </c>
      <c r="D17">
        <f t="shared" si="1"/>
        <v>0</v>
      </c>
      <c r="H17" s="41"/>
      <c r="I17" s="41"/>
    </row>
    <row r="18" spans="1:9" x14ac:dyDescent="0.25">
      <c r="A18" s="76" t="s">
        <v>218</v>
      </c>
      <c r="B18" s="39"/>
      <c r="C18" s="39">
        <f>IF(COUNTA(J18)&gt;0,J18,B18)</f>
        <v>0</v>
      </c>
      <c r="D18">
        <f t="shared" si="1"/>
        <v>0</v>
      </c>
      <c r="H18" s="44"/>
      <c r="I18" s="44"/>
    </row>
    <row r="19" spans="1:9" x14ac:dyDescent="0.25">
      <c r="A19" s="83" t="s">
        <v>133</v>
      </c>
      <c r="B19" s="81">
        <v>2.6</v>
      </c>
      <c r="C19" s="80">
        <v>2</v>
      </c>
      <c r="D19" s="14">
        <f t="shared" si="1"/>
        <v>2.6</v>
      </c>
    </row>
    <row r="20" spans="1:9" x14ac:dyDescent="0.25">
      <c r="A20" s="83" t="s">
        <v>134</v>
      </c>
      <c r="B20" s="81">
        <v>2.7</v>
      </c>
      <c r="C20" s="80">
        <v>3</v>
      </c>
      <c r="D20">
        <f t="shared" si="1"/>
        <v>2.7</v>
      </c>
    </row>
    <row r="21" spans="1:9" x14ac:dyDescent="0.25">
      <c r="A21" s="83" t="s">
        <v>135</v>
      </c>
      <c r="B21" s="81">
        <v>2.5</v>
      </c>
      <c r="C21" s="80">
        <v>2</v>
      </c>
      <c r="D21">
        <f t="shared" si="1"/>
        <v>2.5</v>
      </c>
    </row>
    <row r="24" spans="1:9" x14ac:dyDescent="0.25">
      <c r="A24" s="102" t="s">
        <v>276</v>
      </c>
      <c r="B24" s="103" t="s">
        <v>66</v>
      </c>
      <c r="C24" s="103" t="s">
        <v>67</v>
      </c>
    </row>
    <row r="25" spans="1:9" x14ac:dyDescent="0.25">
      <c r="A25" s="94" t="s">
        <v>4</v>
      </c>
      <c r="B25" s="36"/>
      <c r="C25" s="37">
        <v>6.9800000000000001E-2</v>
      </c>
      <c r="D25">
        <v>7.0199999999999999E-2</v>
      </c>
    </row>
    <row r="29" spans="1:9" x14ac:dyDescent="0.25">
      <c r="C29" s="12"/>
    </row>
  </sheetData>
  <mergeCells count="1">
    <mergeCell ref="A1:C1"/>
  </mergeCells>
  <dataValidations count="2">
    <dataValidation type="list" allowBlank="1" showInputMessage="1" showErrorMessage="1" sqref="J12">
      <formula1>$O$25:$O$27</formula1>
    </dataValidation>
    <dataValidation type="list" allowBlank="1" showInputMessage="1" showErrorMessage="1" sqref="B9:C9">
      <formula1>$O$25:$O$27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Consumption!$O$25:$O$27</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G32"/>
  <sheetViews>
    <sheetView workbookViewId="0">
      <selection activeCell="D26" sqref="D26"/>
    </sheetView>
  </sheetViews>
  <sheetFormatPr defaultRowHeight="15" x14ac:dyDescent="0.25"/>
  <cols>
    <col min="1" max="1" width="33.28515625" customWidth="1"/>
    <col min="2" max="2" width="22.28515625" customWidth="1"/>
    <col min="4" max="4" width="33.28515625" customWidth="1"/>
    <col min="5" max="5" width="22.28515625" customWidth="1"/>
    <col min="7" max="7" width="33.28515625" customWidth="1"/>
    <col min="8" max="8" width="22.28515625" customWidth="1"/>
    <col min="10" max="10" width="33.28515625" customWidth="1"/>
    <col min="11" max="11" width="22.28515625" customWidth="1"/>
    <col min="13" max="13" width="33.28515625" customWidth="1"/>
    <col min="14" max="14" width="22.28515625" customWidth="1"/>
  </cols>
  <sheetData>
    <row r="1" spans="1:7" ht="14.45" customHeight="1" x14ac:dyDescent="0.25">
      <c r="A1" s="305" t="s">
        <v>222</v>
      </c>
      <c r="B1" s="305"/>
      <c r="C1" s="78"/>
      <c r="D1" s="78"/>
      <c r="E1" s="78"/>
    </row>
    <row r="2" spans="1:7" x14ac:dyDescent="0.25">
      <c r="A2" s="26"/>
      <c r="B2" s="26"/>
      <c r="C2" s="26"/>
      <c r="D2" s="26"/>
      <c r="E2" s="26"/>
    </row>
    <row r="3" spans="1:7" x14ac:dyDescent="0.25">
      <c r="A3" s="331" t="s">
        <v>68</v>
      </c>
      <c r="B3" s="332"/>
      <c r="D3" t="s">
        <v>224</v>
      </c>
      <c r="E3">
        <f>IF(COUNTA(B5)=0,0,IF(B5="Single-Stage Rotary Screw",1,IF(B5="Two-Stage Rotary Screw",2,IF(B5="Single-Stage Piston",4,IF(B5="Two-Stage Piston",5,IF(B5="Impeller/Centrifugal",6,0))))))</f>
        <v>5</v>
      </c>
    </row>
    <row r="4" spans="1:7" x14ac:dyDescent="0.25">
      <c r="A4" s="33" t="s">
        <v>69</v>
      </c>
      <c r="B4" s="25">
        <v>115</v>
      </c>
      <c r="D4" t="s">
        <v>207</v>
      </c>
      <c r="E4" s="50" t="e">
        <f>AVERAGEIFS(Compressors!S:S,Compressors!G:G,'Compressor Info'!B7,Compressors!I:I,'Compressor Info'!B4,Compressors!D:D,'Compressor Info'!E3)</f>
        <v>#DIV/0!</v>
      </c>
    </row>
    <row r="5" spans="1:7" x14ac:dyDescent="0.25">
      <c r="A5" s="33" t="s">
        <v>90</v>
      </c>
      <c r="B5" s="25" t="s">
        <v>363</v>
      </c>
      <c r="D5" t="s">
        <v>213</v>
      </c>
      <c r="E5" t="e">
        <f>AVERAGEIFS(Compressors!$AU$38:$AU$305,Compressors!$AS$38:$AS$305,'Compressor Info'!B7,Compressors!$AR$38:$AR$305,'Compressor Info'!B4,Compressors!$AQ$38:$AQ$305,'Compressor Info'!E3)*VLOOKUP(B6,Compressors!$AI$45:$AJ$50,2,FALSE)</f>
        <v>#DIV/0!</v>
      </c>
      <c r="G5" s="113"/>
    </row>
    <row r="6" spans="1:7" ht="14.45" customHeight="1" x14ac:dyDescent="0.25">
      <c r="A6" s="33" t="s">
        <v>70</v>
      </c>
      <c r="B6" s="25" t="s">
        <v>84</v>
      </c>
      <c r="D6" t="s">
        <v>286</v>
      </c>
      <c r="E6" t="e">
        <f>AVERAGEIFS(Compressors!S:S,Compressors!G:G,'Compressor Info'!B7,Compressors!I:I,'Compressor Info'!B4,Compressors!D:D,'Compressor Info'!E3) * HLOOKUP(B8,Compressors!$AJ$1:$AU$20,MATCH(B6,Compressors!$AJ$1:$AJ$20,0),FALSE)</f>
        <v>#DIV/0!</v>
      </c>
    </row>
    <row r="7" spans="1:7" x14ac:dyDescent="0.25">
      <c r="A7" s="33" t="s">
        <v>71</v>
      </c>
      <c r="B7" s="25">
        <v>40</v>
      </c>
    </row>
    <row r="8" spans="1:7" x14ac:dyDescent="0.25">
      <c r="A8" s="104" t="s">
        <v>289</v>
      </c>
      <c r="B8" s="110">
        <v>0.5</v>
      </c>
    </row>
    <row r="9" spans="1:7" x14ac:dyDescent="0.25">
      <c r="A9" s="331" t="s">
        <v>72</v>
      </c>
      <c r="B9" s="332"/>
      <c r="D9" t="s">
        <v>225</v>
      </c>
      <c r="E9">
        <f>IF(COUNTA(B11)=0,0,IF(B11="Single-Stage Rotary Screw",1,IF(B11="Two-Stage Rotary Screw",2,IF(B11="Single-Stage Piston",4,IF(B11="Two-Stage Piston",5,IF(B11="Impeller/Centrifugal",6,0))))))</f>
        <v>1</v>
      </c>
    </row>
    <row r="10" spans="1:7" ht="14.45" customHeight="1" x14ac:dyDescent="0.25">
      <c r="A10" s="33" t="s">
        <v>69</v>
      </c>
      <c r="B10" s="25">
        <v>115</v>
      </c>
      <c r="D10" t="s">
        <v>207</v>
      </c>
      <c r="E10">
        <f>AVERAGEIFS(Compressors!$AU$38:$AU$305,Compressors!$AS$38:$AS$305,'Compressor Info'!B13,Compressors!$AR$38:$AR$305,'Compressor Info'!B10,Compressors!$AQ$38:$AQ$305,'Compressor Info'!E9)</f>
        <v>21.7</v>
      </c>
    </row>
    <row r="11" spans="1:7" x14ac:dyDescent="0.25">
      <c r="A11" s="33" t="s">
        <v>90</v>
      </c>
      <c r="B11" s="25" t="s">
        <v>253</v>
      </c>
      <c r="D11" t="s">
        <v>213</v>
      </c>
      <c r="E11">
        <f>AVERAGEIFS(Compressors!$AU$38:$AU$305,Compressors!$AS$38:$AS$305,'Compressor Info'!B13,Compressors!$AR$38:$AR$305,'Compressor Info'!B10,Compressors!$AQ$38:$AQ$305,'Compressor Info'!E9)*VLOOKUP(B12,Compressors!$AI$45:$AJ$50,2,FALSE)</f>
        <v>23.436</v>
      </c>
    </row>
    <row r="12" spans="1:7" x14ac:dyDescent="0.25">
      <c r="A12" s="33" t="s">
        <v>70</v>
      </c>
      <c r="B12" s="25" t="s">
        <v>85</v>
      </c>
      <c r="D12" t="s">
        <v>286</v>
      </c>
      <c r="E12">
        <f>AVERAGEIFS(Compressors!$AU$38:$AU$305,Compressors!$AS$38:$AS$305,'Compressor Info'!B13,Compressors!$AR$38:$AR$305,'Compressor Info'!B10,Compressors!$AQ$38:$AQ$305,'Compressor Info'!E9)*HLOOKUP(B14,Compressors!$AJ$1:$AU$20,MATCH(B12,Compressors!$AJ$1:$AJ$20,0),FALSE)</f>
        <v>21.7</v>
      </c>
    </row>
    <row r="13" spans="1:7" x14ac:dyDescent="0.25">
      <c r="A13" s="33" t="s">
        <v>71</v>
      </c>
      <c r="B13" s="25">
        <v>25</v>
      </c>
    </row>
    <row r="14" spans="1:7" x14ac:dyDescent="0.25">
      <c r="A14" s="104" t="s">
        <v>289</v>
      </c>
      <c r="B14" s="110">
        <v>0.9</v>
      </c>
    </row>
    <row r="15" spans="1:7" x14ac:dyDescent="0.25">
      <c r="A15" s="331" t="s">
        <v>73</v>
      </c>
      <c r="B15" s="332"/>
      <c r="D15" t="s">
        <v>226</v>
      </c>
      <c r="E15">
        <f>IF(COUNTA(B17)=0,0,IF(B17="Single-Stage Rotary Screw",1,IF(B17="Two-Stage Rotary Screw",2,IF(B17="Single-Stage Piston",4,IF(B17="Two-Stage Piston",5,IF(B17="Impeller/Centrifugal",6,0))))))</f>
        <v>1</v>
      </c>
    </row>
    <row r="16" spans="1:7" x14ac:dyDescent="0.25">
      <c r="A16" s="33" t="s">
        <v>69</v>
      </c>
      <c r="B16" s="25">
        <v>125</v>
      </c>
      <c r="D16" t="s">
        <v>207</v>
      </c>
      <c r="E16">
        <f>AVERAGEIFS(Compressors!$AU$38:$AU$305,Compressors!$AS$38:$AS$305,'Compressor Info'!B19,Compressors!$AR$38:$AR$305,'Compressor Info'!B16,Compressors!$AQ$38:$AQ$305,'Compressor Info'!E15)</f>
        <v>19.5</v>
      </c>
    </row>
    <row r="17" spans="1:5" x14ac:dyDescent="0.25">
      <c r="A17" s="33" t="s">
        <v>90</v>
      </c>
      <c r="B17" s="25" t="s">
        <v>253</v>
      </c>
      <c r="D17" t="s">
        <v>213</v>
      </c>
      <c r="E17">
        <f>AVERAGEIFS(Compressors!$AU$38:$AU$305,Compressors!$AS$38:$AS$305,'Compressor Info'!B19,Compressors!$AR$38:$AR$305,'Compressor Info'!B16,Compressors!$AQ$38:$AQ$305,'Compressor Info'!E15)*VLOOKUP(B18,Compressors!$AI$45:$AJ$50,2,FALSE)</f>
        <v>24.96</v>
      </c>
    </row>
    <row r="18" spans="1:5" x14ac:dyDescent="0.25">
      <c r="A18" s="33" t="s">
        <v>70</v>
      </c>
      <c r="B18" s="25" t="s">
        <v>88</v>
      </c>
      <c r="D18" t="s">
        <v>286</v>
      </c>
      <c r="E18">
        <f>AVERAGEIFS(Compressors!$AU$38:$AU$305,Compressors!$AS$38:$AS$305,'Compressor Info'!B19,Compressors!$AR$38:$AR$305,'Compressor Info'!B16,Compressors!$AQ$38:$AQ$305,'Compressor Info'!E15)*HLOOKUP(B20,Compressors!$AJ$1:$AU$20,MATCH(B18,Compressors!$AJ$1:$AJ$20,0),FALSE)</f>
        <v>29.737499999999997</v>
      </c>
    </row>
    <row r="19" spans="1:5" x14ac:dyDescent="0.25">
      <c r="A19" s="33" t="s">
        <v>71</v>
      </c>
      <c r="B19" s="25">
        <v>200</v>
      </c>
    </row>
    <row r="20" spans="1:5" x14ac:dyDescent="0.25">
      <c r="A20" s="104" t="s">
        <v>289</v>
      </c>
      <c r="B20" s="110">
        <v>0.4</v>
      </c>
    </row>
    <row r="21" spans="1:5" x14ac:dyDescent="0.25">
      <c r="A21" s="331" t="s">
        <v>74</v>
      </c>
      <c r="B21" s="332"/>
      <c r="D21" t="s">
        <v>227</v>
      </c>
      <c r="E21">
        <f>IF(COUNTA(B23)=0,0,IF(B23="Single-Stage Rotary Screw",1,IF(B23="Two-Stage Rotary Screw",2,IF(B23="Single-Stage Piston",4,IF(B23="Two-Stage Piston",5,IF(B23="Impeller/Centrifugal",6,0))))))</f>
        <v>0</v>
      </c>
    </row>
    <row r="22" spans="1:5" x14ac:dyDescent="0.25">
      <c r="A22" s="33" t="s">
        <v>69</v>
      </c>
      <c r="B22" s="25"/>
      <c r="D22" t="s">
        <v>207</v>
      </c>
      <c r="E22" t="e">
        <f>AVERAGEIFS(Compressors!$AU$38:$AU$305,Compressors!$AS$38:$AS$305,'Compressor Info'!B25,Compressors!$AR$38:$AR$305,'Compressor Info'!B22,Compressors!$AQ$38:$AQ$305,'Compressor Info'!E21)</f>
        <v>#DIV/0!</v>
      </c>
    </row>
    <row r="23" spans="1:5" x14ac:dyDescent="0.25">
      <c r="A23" s="33" t="s">
        <v>90</v>
      </c>
      <c r="B23" s="25"/>
      <c r="D23" t="s">
        <v>213</v>
      </c>
      <c r="E23" t="e">
        <f>AVERAGEIFS(Compressors!$AU$38:$AU$305,Compressors!$AS$38:$AS$305,'Compressor Info'!B25,Compressors!$AR$38:$AR$305,'Compressor Info'!B22,Compressors!$AQ$38:$AQ$305,'Compressor Info'!E21)*VLOOKUP(B24,Compressors!$AI$45:$AJ$50,2,FALSE)</f>
        <v>#DIV/0!</v>
      </c>
    </row>
    <row r="24" spans="1:5" x14ac:dyDescent="0.25">
      <c r="A24" s="33" t="s">
        <v>70</v>
      </c>
      <c r="B24" s="25"/>
      <c r="D24" t="s">
        <v>286</v>
      </c>
      <c r="E24" t="e">
        <f>AVERAGEIFS(Compressors!$AU$38:$AU$305,Compressors!$AS$38:$AS$305,'Compressor Info'!B25,Compressors!$AR$38:$AR$305,'Compressor Info'!B22,Compressors!$AQ$38:$AQ$305,'Compressor Info'!E21)*HLOOKUP(B26,Compressors!$AJ$1:$AU$20,MATCH(B24,Compressors!$AJ$1:$AJ$20,0),FALSE)</f>
        <v>#DIV/0!</v>
      </c>
    </row>
    <row r="25" spans="1:5" x14ac:dyDescent="0.25">
      <c r="A25" s="33" t="s">
        <v>71</v>
      </c>
      <c r="B25" s="25"/>
    </row>
    <row r="26" spans="1:5" x14ac:dyDescent="0.25">
      <c r="A26" s="104" t="s">
        <v>289</v>
      </c>
      <c r="B26" s="105"/>
    </row>
    <row r="27" spans="1:5" x14ac:dyDescent="0.25">
      <c r="A27" s="331" t="s">
        <v>75</v>
      </c>
      <c r="B27" s="332"/>
      <c r="D27" t="s">
        <v>228</v>
      </c>
      <c r="E27">
        <f>IF(COUNTA(B29)=0,0,IF(B29="Single-Stage Rotary Screw",1,IF(B29="Two-Stage Rotary Screw",2,IF(B29="Single-Stage Piston",4,IF(B29="Two-Stage Piston",5,IF(B29="Impeller/Centrifugal",6,0))))))</f>
        <v>0</v>
      </c>
    </row>
    <row r="28" spans="1:5" x14ac:dyDescent="0.25">
      <c r="A28" s="33" t="s">
        <v>69</v>
      </c>
      <c r="B28" s="25"/>
      <c r="D28" t="s">
        <v>207</v>
      </c>
      <c r="E28" t="e">
        <f>AVERAGEIFS(Compressors!$AU$38:$AU$305,Compressors!$AS$38:$AS$305,'Compressor Info'!B31,Compressors!$AR$38:$AR$305,'Compressor Info'!B28,Compressors!$AQ$38:$AQ$305,'Compressor Info'!E27)</f>
        <v>#DIV/0!</v>
      </c>
    </row>
    <row r="29" spans="1:5" x14ac:dyDescent="0.25">
      <c r="A29" s="33" t="s">
        <v>90</v>
      </c>
      <c r="B29" s="25"/>
      <c r="D29" t="s">
        <v>213</v>
      </c>
      <c r="E29" t="e">
        <f>AVERAGEIFS(Compressors!$AU$38:$AU$305,Compressors!$AS$38:$AS$305,'Compressor Info'!B31,Compressors!$AR$38:$AR$305,'Compressor Info'!B28,Compressors!$AQ$38:$AQ$305,'Compressor Info'!E27)*VLOOKUP(B30,Compressors!$AI$45:$AJ$50,2,FALSE)</f>
        <v>#DIV/0!</v>
      </c>
    </row>
    <row r="30" spans="1:5" x14ac:dyDescent="0.25">
      <c r="A30" s="33" t="s">
        <v>70</v>
      </c>
      <c r="B30" s="25"/>
      <c r="D30" t="s">
        <v>286</v>
      </c>
      <c r="E30" t="e">
        <f>AVERAGEIFS(Compressors!$AU$38:$AU$305,Compressors!$AS$38:$AS$305,'Compressor Info'!B31,Compressors!$AR$38:$AR$305,'Compressor Info'!B28,Compressors!$AQ$38:$AQ$305,'Compressor Info'!E27)*HLOOKUP(B32,Compressors!$AJ$1:$AU$20,MATCH(B30,Compressors!$AJ$1:$AJ$20,0),FALSE)</f>
        <v>#DIV/0!</v>
      </c>
    </row>
    <row r="31" spans="1:5" x14ac:dyDescent="0.25">
      <c r="A31" s="33" t="s">
        <v>71</v>
      </c>
      <c r="B31" s="25"/>
    </row>
    <row r="32" spans="1:5" x14ac:dyDescent="0.25">
      <c r="A32" s="104" t="s">
        <v>289</v>
      </c>
      <c r="B32" s="105"/>
    </row>
  </sheetData>
  <mergeCells count="6">
    <mergeCell ref="A1:B1"/>
    <mergeCell ref="A21:B21"/>
    <mergeCell ref="A27:B27"/>
    <mergeCell ref="A3:B3"/>
    <mergeCell ref="A9:B9"/>
    <mergeCell ref="A15:B15"/>
  </mergeCells>
  <dataValidations count="2">
    <dataValidation type="list" allowBlank="1" showInputMessage="1" showErrorMessage="1" sqref="B29 B23 B17 B11 B5">
      <formula1>"Single-Stage Rotary Screw, Two-Stage Rotary Screw, Single-Stage Piston, Two-Stage Piston, Impeller/Centrifugal"</formula1>
    </dataValidation>
    <dataValidation type="list" allowBlank="1" showInputMessage="1" showErrorMessage="1" sqref="B8 B14 B20 B26 B32">
      <formula1>"10%,20%,30%,40%,50%,60%,70%,80%,90%,100%"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Consumption!$AX$4:$AX$8</xm:f>
          </x14:formula1>
          <xm:sqref>B6</xm:sqref>
        </x14:dataValidation>
        <x14:dataValidation type="list" allowBlank="1" showInputMessage="1" showErrorMessage="1">
          <x14:formula1>
            <xm:f>Consumption!$AX$4:$AX$8</xm:f>
          </x14:formula1>
          <xm:sqref>B12</xm:sqref>
        </x14:dataValidation>
        <x14:dataValidation type="list" allowBlank="1" showInputMessage="1" showErrorMessage="1">
          <x14:formula1>
            <xm:f>Consumption!$AX$4:$AX$8</xm:f>
          </x14:formula1>
          <xm:sqref>B18</xm:sqref>
        </x14:dataValidation>
        <x14:dataValidation type="list" allowBlank="1" showInputMessage="1" showErrorMessage="1">
          <x14:formula1>
            <xm:f>Consumption!$AX$4:$AX$8</xm:f>
          </x14:formula1>
          <xm:sqref>B24</xm:sqref>
        </x14:dataValidation>
        <x14:dataValidation type="list" allowBlank="1" showInputMessage="1" showErrorMessage="1">
          <x14:formula1>
            <xm:f>Consumption!$AX$4:$AX$8</xm:f>
          </x14:formula1>
          <xm:sqref>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DX1274"/>
  <sheetViews>
    <sheetView topLeftCell="AA1" workbookViewId="0">
      <selection activeCell="D26" sqref="D26"/>
    </sheetView>
  </sheetViews>
  <sheetFormatPr defaultRowHeight="15" x14ac:dyDescent="0.25"/>
  <cols>
    <col min="4" max="4" width="9.140625" style="61"/>
    <col min="7" max="7" width="9.140625" style="55"/>
    <col min="9" max="9" width="14.85546875" style="57" customWidth="1"/>
    <col min="10" max="10" width="20.140625" customWidth="1"/>
    <col min="19" max="19" width="12" style="148" customWidth="1"/>
    <col min="35" max="35" width="11" customWidth="1"/>
    <col min="36" max="36" width="23.7109375" customWidth="1"/>
    <col min="37" max="37" width="6.7109375" customWidth="1"/>
    <col min="40" max="40" width="31.7109375" customWidth="1"/>
    <col min="41" max="41" width="4.5703125" customWidth="1"/>
    <col min="82" max="82" width="9.140625" style="125"/>
    <col min="87" max="87" width="9.140625" style="125"/>
    <col min="92" max="92" width="9.140625" style="125"/>
    <col min="101" max="101" width="9.140625" style="125"/>
  </cols>
  <sheetData>
    <row r="1" spans="1:128" x14ac:dyDescent="0.25">
      <c r="A1" s="120" t="s">
        <v>137</v>
      </c>
      <c r="B1" s="120" t="s">
        <v>138</v>
      </c>
      <c r="C1" s="120" t="s">
        <v>139</v>
      </c>
      <c r="D1" s="61" t="s">
        <v>122</v>
      </c>
      <c r="E1" s="120" t="s">
        <v>140</v>
      </c>
      <c r="F1" s="120" t="s">
        <v>141</v>
      </c>
      <c r="G1" s="55" t="s">
        <v>117</v>
      </c>
      <c r="H1" s="120" t="s">
        <v>142</v>
      </c>
      <c r="I1" s="57" t="s">
        <v>118</v>
      </c>
      <c r="J1" s="120" t="s">
        <v>143</v>
      </c>
      <c r="K1" s="120" t="s">
        <v>144</v>
      </c>
      <c r="L1" s="120" t="s">
        <v>145</v>
      </c>
      <c r="M1" s="120" t="s">
        <v>146</v>
      </c>
      <c r="N1" s="120" t="s">
        <v>147</v>
      </c>
      <c r="O1" s="120" t="s">
        <v>148</v>
      </c>
      <c r="P1" s="120" t="s">
        <v>149</v>
      </c>
      <c r="Q1" s="120" t="s">
        <v>119</v>
      </c>
      <c r="R1" s="120" t="s">
        <v>120</v>
      </c>
      <c r="S1" s="148" t="s">
        <v>121</v>
      </c>
      <c r="T1" s="120" t="s">
        <v>150</v>
      </c>
      <c r="U1" s="120" t="s">
        <v>151</v>
      </c>
      <c r="V1" s="120" t="s">
        <v>152</v>
      </c>
      <c r="W1" s="120" t="s">
        <v>153</v>
      </c>
      <c r="X1" s="120" t="s">
        <v>154</v>
      </c>
      <c r="Y1" s="120" t="s">
        <v>155</v>
      </c>
      <c r="Z1" s="120" t="s">
        <v>156</v>
      </c>
      <c r="AA1" s="120" t="s">
        <v>157</v>
      </c>
      <c r="AB1" s="120" t="s">
        <v>158</v>
      </c>
      <c r="AC1" s="120" t="s">
        <v>159</v>
      </c>
      <c r="AD1" s="120" t="s">
        <v>160</v>
      </c>
      <c r="AE1" s="120" t="s">
        <v>161</v>
      </c>
      <c r="AF1" s="120" t="s">
        <v>162</v>
      </c>
      <c r="AG1" s="120" t="s">
        <v>163</v>
      </c>
      <c r="AH1" s="120" t="s">
        <v>164</v>
      </c>
      <c r="AJ1" t="s">
        <v>189</v>
      </c>
      <c r="AK1" s="3">
        <v>0</v>
      </c>
      <c r="AL1" s="3">
        <v>0.1</v>
      </c>
      <c r="AM1" s="3">
        <v>0.2</v>
      </c>
      <c r="AN1" s="3">
        <v>0.3</v>
      </c>
      <c r="AO1" s="3">
        <v>0.4</v>
      </c>
      <c r="AP1" s="3">
        <v>0.5</v>
      </c>
      <c r="AQ1" s="3">
        <v>0.6</v>
      </c>
      <c r="AR1" s="3">
        <v>0.7</v>
      </c>
      <c r="AS1" s="3">
        <v>0.8</v>
      </c>
      <c r="AT1" s="3">
        <v>0.9</v>
      </c>
      <c r="AU1" s="3">
        <v>1</v>
      </c>
      <c r="BB1" t="s">
        <v>373</v>
      </c>
      <c r="BC1" t="s">
        <v>374</v>
      </c>
      <c r="BD1" t="s">
        <v>375</v>
      </c>
      <c r="BE1" t="s">
        <v>376</v>
      </c>
      <c r="BF1" t="s">
        <v>377</v>
      </c>
      <c r="BG1" t="s">
        <v>378</v>
      </c>
      <c r="BH1" t="s">
        <v>379</v>
      </c>
      <c r="BI1" t="s">
        <v>380</v>
      </c>
      <c r="BJ1" t="s">
        <v>381</v>
      </c>
      <c r="BK1" t="s">
        <v>382</v>
      </c>
      <c r="BL1" t="s">
        <v>383</v>
      </c>
      <c r="BM1" t="s">
        <v>384</v>
      </c>
      <c r="BN1" t="s">
        <v>385</v>
      </c>
    </row>
    <row r="2" spans="1:128" x14ac:dyDescent="0.25">
      <c r="A2" s="120">
        <v>1</v>
      </c>
      <c r="B2" s="120" t="b">
        <v>0</v>
      </c>
      <c r="C2" s="120">
        <v>0</v>
      </c>
      <c r="D2" s="61">
        <v>1</v>
      </c>
      <c r="E2" s="120">
        <v>1</v>
      </c>
      <c r="F2" s="120" t="s">
        <v>165</v>
      </c>
      <c r="G2" s="55">
        <v>5</v>
      </c>
      <c r="H2" s="120">
        <v>18</v>
      </c>
      <c r="I2" s="57">
        <v>100</v>
      </c>
      <c r="J2" s="120">
        <v>110</v>
      </c>
      <c r="K2" s="120">
        <v>1</v>
      </c>
      <c r="L2" s="120">
        <v>50</v>
      </c>
      <c r="M2" s="120">
        <v>15</v>
      </c>
      <c r="N2" s="120">
        <v>40</v>
      </c>
      <c r="O2" s="120">
        <v>2</v>
      </c>
      <c r="P2" s="120">
        <v>5</v>
      </c>
      <c r="Q2" s="120">
        <v>5.3000001907348597</v>
      </c>
      <c r="R2" s="120">
        <v>4.5999999046325701</v>
      </c>
      <c r="S2" s="148">
        <v>25.899999618530298</v>
      </c>
      <c r="T2" s="120">
        <v>65</v>
      </c>
      <c r="U2" s="120">
        <v>50</v>
      </c>
      <c r="V2" s="120">
        <v>-9999</v>
      </c>
      <c r="W2" s="120">
        <v>-9999</v>
      </c>
      <c r="X2" s="120">
        <v>-9999</v>
      </c>
      <c r="Y2" s="120">
        <v>-9999</v>
      </c>
      <c r="Z2" s="120">
        <v>-9999</v>
      </c>
      <c r="AA2" s="120">
        <v>68</v>
      </c>
      <c r="AB2" s="120">
        <v>14.5</v>
      </c>
      <c r="AC2" s="120">
        <v>1</v>
      </c>
      <c r="AD2" s="120">
        <v>1273</v>
      </c>
      <c r="AE2" s="120">
        <v>-9999</v>
      </c>
      <c r="AF2" s="120">
        <v>-9999</v>
      </c>
      <c r="AG2" s="120">
        <v>-9999</v>
      </c>
      <c r="AH2" s="120"/>
      <c r="AJ2" t="s">
        <v>288</v>
      </c>
      <c r="AK2" s="3">
        <v>0</v>
      </c>
      <c r="AL2" s="3">
        <v>0.1</v>
      </c>
      <c r="AM2" s="3">
        <v>0.2</v>
      </c>
      <c r="AN2" s="3">
        <v>0.3</v>
      </c>
      <c r="AO2" s="3">
        <v>0.4</v>
      </c>
      <c r="AP2" s="3">
        <v>0.5</v>
      </c>
      <c r="AQ2" s="3">
        <v>0.6</v>
      </c>
      <c r="AR2" s="3">
        <v>0.7</v>
      </c>
      <c r="AS2" s="3">
        <v>0.8</v>
      </c>
      <c r="AT2" s="3">
        <v>0.9</v>
      </c>
      <c r="AU2" s="3">
        <v>1</v>
      </c>
      <c r="AZ2" t="s">
        <v>117</v>
      </c>
      <c r="BB2" t="s">
        <v>435</v>
      </c>
      <c r="BC2" t="s">
        <v>436</v>
      </c>
      <c r="BD2" t="s">
        <v>437</v>
      </c>
      <c r="BE2" t="s">
        <v>438</v>
      </c>
      <c r="BF2" t="s">
        <v>439</v>
      </c>
      <c r="BG2" t="s">
        <v>440</v>
      </c>
      <c r="BH2" t="s">
        <v>441</v>
      </c>
      <c r="BI2" t="s">
        <v>442</v>
      </c>
      <c r="BJ2" t="s">
        <v>443</v>
      </c>
      <c r="BK2" t="s">
        <v>444</v>
      </c>
      <c r="BL2" t="s">
        <v>445</v>
      </c>
      <c r="BM2" t="s">
        <v>446</v>
      </c>
      <c r="BN2" t="s">
        <v>447</v>
      </c>
      <c r="BP2" t="s">
        <v>386</v>
      </c>
      <c r="BQ2" t="s">
        <v>387</v>
      </c>
      <c r="BR2" t="s">
        <v>388</v>
      </c>
      <c r="BT2" t="s">
        <v>389</v>
      </c>
      <c r="BU2" t="s">
        <v>393</v>
      </c>
      <c r="BV2" t="s">
        <v>390</v>
      </c>
      <c r="BX2" t="s">
        <v>391</v>
      </c>
      <c r="BY2" t="s">
        <v>394</v>
      </c>
      <c r="BZ2" t="s">
        <v>392</v>
      </c>
      <c r="CB2" t="s">
        <v>395</v>
      </c>
      <c r="CC2" t="s">
        <v>397</v>
      </c>
      <c r="CD2" s="125" t="s">
        <v>434</v>
      </c>
      <c r="CE2" t="s">
        <v>396</v>
      </c>
      <c r="CG2" t="s">
        <v>398</v>
      </c>
      <c r="CH2" t="s">
        <v>400</v>
      </c>
      <c r="CI2" s="125" t="s">
        <v>433</v>
      </c>
      <c r="CJ2" t="s">
        <v>399</v>
      </c>
      <c r="CL2" t="s">
        <v>403</v>
      </c>
      <c r="CM2" t="s">
        <v>401</v>
      </c>
      <c r="CN2" s="125" t="s">
        <v>432</v>
      </c>
      <c r="CO2" t="s">
        <v>402</v>
      </c>
      <c r="CQ2" t="s">
        <v>404</v>
      </c>
      <c r="CR2" t="s">
        <v>405</v>
      </c>
      <c r="CS2" t="s">
        <v>406</v>
      </c>
      <c r="CT2" t="s">
        <v>407</v>
      </c>
      <c r="CV2" t="s">
        <v>408</v>
      </c>
      <c r="CW2" s="125" t="s">
        <v>431</v>
      </c>
      <c r="CX2" t="s">
        <v>409</v>
      </c>
      <c r="CY2" t="s">
        <v>410</v>
      </c>
      <c r="DA2" t="s">
        <v>411</v>
      </c>
      <c r="DB2" t="s">
        <v>412</v>
      </c>
      <c r="DC2" t="s">
        <v>413</v>
      </c>
      <c r="DD2" t="s">
        <v>414</v>
      </c>
      <c r="DF2" t="s">
        <v>415</v>
      </c>
      <c r="DG2" t="s">
        <v>416</v>
      </c>
      <c r="DH2" t="s">
        <v>417</v>
      </c>
      <c r="DI2" t="s">
        <v>418</v>
      </c>
      <c r="DK2" t="s">
        <v>419</v>
      </c>
      <c r="DL2" t="s">
        <v>420</v>
      </c>
      <c r="DM2" t="s">
        <v>421</v>
      </c>
      <c r="DN2" t="s">
        <v>422</v>
      </c>
      <c r="DP2" t="s">
        <v>423</v>
      </c>
      <c r="DQ2" t="s">
        <v>424</v>
      </c>
      <c r="DR2" t="s">
        <v>425</v>
      </c>
      <c r="DS2" t="s">
        <v>426</v>
      </c>
      <c r="DU2" t="s">
        <v>427</v>
      </c>
      <c r="DV2" t="s">
        <v>428</v>
      </c>
      <c r="DW2" t="s">
        <v>429</v>
      </c>
      <c r="DX2" t="s">
        <v>430</v>
      </c>
    </row>
    <row r="3" spans="1:128" x14ac:dyDescent="0.25">
      <c r="A3" s="120">
        <v>2</v>
      </c>
      <c r="B3" s="120" t="b">
        <v>0</v>
      </c>
      <c r="C3" s="120">
        <v>0</v>
      </c>
      <c r="D3" s="61">
        <v>1</v>
      </c>
      <c r="E3" s="120">
        <v>1</v>
      </c>
      <c r="F3" s="120" t="s">
        <v>165</v>
      </c>
      <c r="G3" s="55">
        <v>5</v>
      </c>
      <c r="H3" s="120">
        <v>19</v>
      </c>
      <c r="I3" s="57">
        <v>100</v>
      </c>
      <c r="J3" s="120">
        <v>100</v>
      </c>
      <c r="K3" s="120">
        <v>2</v>
      </c>
      <c r="L3" s="120">
        <v>50</v>
      </c>
      <c r="M3" s="120">
        <v>15</v>
      </c>
      <c r="N3" s="120">
        <v>40</v>
      </c>
      <c r="O3" s="120">
        <v>2</v>
      </c>
      <c r="P3" s="120">
        <v>20</v>
      </c>
      <c r="Q3" s="120">
        <v>5.5</v>
      </c>
      <c r="R3" s="120">
        <v>4.8000001907348597</v>
      </c>
      <c r="S3" s="148">
        <v>25.899999618530298</v>
      </c>
      <c r="T3" s="120">
        <v>65</v>
      </c>
      <c r="U3" s="120">
        <v>50</v>
      </c>
      <c r="V3" s="120">
        <v>-9999</v>
      </c>
      <c r="W3" s="120">
        <v>-9999</v>
      </c>
      <c r="X3" s="120">
        <v>-9999</v>
      </c>
      <c r="Y3" s="120">
        <v>-9999</v>
      </c>
      <c r="Z3" s="120">
        <v>-9999</v>
      </c>
      <c r="AA3" s="120">
        <v>68</v>
      </c>
      <c r="AB3" s="120">
        <v>14.5</v>
      </c>
      <c r="AC3" s="120">
        <v>2</v>
      </c>
      <c r="AD3" s="120">
        <v>1274</v>
      </c>
      <c r="AE3" s="120">
        <v>-9999</v>
      </c>
      <c r="AF3" s="120">
        <v>-9999</v>
      </c>
      <c r="AG3" s="120">
        <v>-9999</v>
      </c>
      <c r="AH3" s="120"/>
      <c r="AJ3" t="s">
        <v>190</v>
      </c>
      <c r="AK3" s="3">
        <v>0.27</v>
      </c>
      <c r="AL3" s="3">
        <v>0.32</v>
      </c>
      <c r="AM3" s="3">
        <v>0.63</v>
      </c>
      <c r="AN3" s="3">
        <v>0.74</v>
      </c>
      <c r="AO3" s="3">
        <v>0.81</v>
      </c>
      <c r="AP3" s="3">
        <v>0.87</v>
      </c>
      <c r="AQ3" s="3">
        <v>0.92</v>
      </c>
      <c r="AR3" s="3">
        <v>0.95</v>
      </c>
      <c r="AS3" s="3">
        <v>0.98</v>
      </c>
      <c r="AT3" s="3">
        <v>1</v>
      </c>
      <c r="AU3" s="3">
        <v>1</v>
      </c>
      <c r="AZ3">
        <v>5</v>
      </c>
      <c r="BB3">
        <v>100</v>
      </c>
      <c r="BC3">
        <v>100</v>
      </c>
      <c r="BD3">
        <v>100</v>
      </c>
      <c r="BE3">
        <v>100</v>
      </c>
      <c r="BF3">
        <v>100</v>
      </c>
      <c r="BG3">
        <v>100</v>
      </c>
      <c r="BH3">
        <v>100</v>
      </c>
      <c r="BI3">
        <v>100</v>
      </c>
      <c r="BJ3">
        <v>100</v>
      </c>
      <c r="BK3">
        <v>100</v>
      </c>
      <c r="BL3">
        <v>100</v>
      </c>
      <c r="BM3" s="125">
        <v>100</v>
      </c>
      <c r="BN3" s="125">
        <v>100</v>
      </c>
      <c r="BP3">
        <v>1</v>
      </c>
      <c r="BQ3">
        <v>4</v>
      </c>
      <c r="BR3">
        <v>1</v>
      </c>
      <c r="BT3">
        <v>1</v>
      </c>
      <c r="BU3">
        <v>4</v>
      </c>
      <c r="BV3">
        <v>1</v>
      </c>
      <c r="BX3">
        <v>1</v>
      </c>
      <c r="BY3">
        <v>4</v>
      </c>
      <c r="BZ3">
        <v>1</v>
      </c>
      <c r="CB3">
        <v>1</v>
      </c>
      <c r="CC3">
        <v>4</v>
      </c>
      <c r="CD3" s="125">
        <v>1</v>
      </c>
      <c r="CE3">
        <v>4</v>
      </c>
      <c r="CG3">
        <v>1</v>
      </c>
      <c r="CH3">
        <v>4</v>
      </c>
      <c r="CI3" s="125">
        <v>1</v>
      </c>
      <c r="CJ3">
        <v>1</v>
      </c>
      <c r="CL3">
        <v>1</v>
      </c>
      <c r="CM3">
        <v>4</v>
      </c>
      <c r="CN3" s="125">
        <v>1</v>
      </c>
      <c r="CO3">
        <v>1</v>
      </c>
      <c r="CQ3">
        <v>1</v>
      </c>
      <c r="CR3">
        <v>1</v>
      </c>
      <c r="CS3">
        <v>1</v>
      </c>
      <c r="CT3">
        <v>1</v>
      </c>
      <c r="CV3">
        <v>1</v>
      </c>
      <c r="CW3" s="125">
        <v>3</v>
      </c>
      <c r="CX3">
        <v>1</v>
      </c>
      <c r="CY3">
        <v>1</v>
      </c>
      <c r="DA3">
        <v>1</v>
      </c>
      <c r="DB3">
        <v>1</v>
      </c>
      <c r="DC3">
        <v>1</v>
      </c>
      <c r="DD3">
        <v>1</v>
      </c>
      <c r="DF3">
        <v>1</v>
      </c>
      <c r="DG3">
        <v>1</v>
      </c>
      <c r="DH3">
        <v>1</v>
      </c>
      <c r="DI3">
        <v>1</v>
      </c>
      <c r="DK3">
        <v>1</v>
      </c>
      <c r="DL3">
        <v>1</v>
      </c>
      <c r="DM3">
        <v>1</v>
      </c>
      <c r="DN3">
        <v>1</v>
      </c>
      <c r="DP3">
        <v>1</v>
      </c>
      <c r="DQ3">
        <v>1</v>
      </c>
      <c r="DR3">
        <v>1</v>
      </c>
      <c r="DS3">
        <v>1</v>
      </c>
      <c r="DU3">
        <v>1</v>
      </c>
      <c r="DV3">
        <v>1</v>
      </c>
      <c r="DW3">
        <v>1</v>
      </c>
      <c r="DX3">
        <v>1</v>
      </c>
    </row>
    <row r="4" spans="1:128" x14ac:dyDescent="0.25">
      <c r="A4" s="120">
        <v>3</v>
      </c>
      <c r="B4" s="120" t="b">
        <v>0</v>
      </c>
      <c r="C4" s="120">
        <v>0</v>
      </c>
      <c r="D4" s="61">
        <v>1</v>
      </c>
      <c r="E4" s="120">
        <v>1</v>
      </c>
      <c r="F4" s="120" t="s">
        <v>165</v>
      </c>
      <c r="G4" s="55">
        <v>5</v>
      </c>
      <c r="H4" s="120">
        <v>19</v>
      </c>
      <c r="I4" s="57">
        <v>100</v>
      </c>
      <c r="J4" s="120">
        <v>100</v>
      </c>
      <c r="K4" s="120">
        <v>3</v>
      </c>
      <c r="L4" s="120">
        <v>40</v>
      </c>
      <c r="M4" s="120">
        <v>15</v>
      </c>
      <c r="N4" s="120">
        <v>40</v>
      </c>
      <c r="O4" s="120">
        <v>2</v>
      </c>
      <c r="P4" s="120">
        <v>16.666999816894499</v>
      </c>
      <c r="Q4" s="120">
        <v>5.5</v>
      </c>
      <c r="R4" s="120">
        <v>4.8000001907348597</v>
      </c>
      <c r="S4" s="148">
        <v>25.899999618530298</v>
      </c>
      <c r="T4" s="120">
        <v>57</v>
      </c>
      <c r="U4" s="120">
        <v>50</v>
      </c>
      <c r="V4" s="120">
        <v>-9999</v>
      </c>
      <c r="W4" s="120">
        <v>-9999</v>
      </c>
      <c r="X4" s="120">
        <v>-9999</v>
      </c>
      <c r="Y4" s="120">
        <v>-9999</v>
      </c>
      <c r="Z4" s="120">
        <v>-9999</v>
      </c>
      <c r="AA4" s="120">
        <v>68</v>
      </c>
      <c r="AB4" s="120">
        <v>14.5</v>
      </c>
      <c r="AC4" s="120">
        <v>3</v>
      </c>
      <c r="AD4" s="120">
        <v>1275</v>
      </c>
      <c r="AE4" s="120">
        <v>-9999</v>
      </c>
      <c r="AF4" s="120">
        <v>-9999</v>
      </c>
      <c r="AG4" s="120">
        <v>-9999</v>
      </c>
      <c r="AH4" s="120"/>
      <c r="AJ4" t="s">
        <v>191</v>
      </c>
      <c r="AK4" s="3">
        <v>0.27</v>
      </c>
      <c r="AL4" s="3">
        <v>0.35</v>
      </c>
      <c r="AM4" s="3">
        <v>0.42</v>
      </c>
      <c r="AN4" s="3">
        <v>0.52</v>
      </c>
      <c r="AO4" s="3">
        <v>0.6</v>
      </c>
      <c r="AP4" s="3">
        <v>0.68</v>
      </c>
      <c r="AQ4" s="3">
        <v>0.76</v>
      </c>
      <c r="AR4" s="3">
        <v>0.83</v>
      </c>
      <c r="AS4" s="3">
        <v>0.89</v>
      </c>
      <c r="AT4" s="3">
        <v>0.96</v>
      </c>
      <c r="AU4" s="3">
        <v>1</v>
      </c>
      <c r="AZ4">
        <v>10</v>
      </c>
      <c r="BB4">
        <v>110</v>
      </c>
      <c r="BC4">
        <v>110</v>
      </c>
      <c r="BD4">
        <v>110</v>
      </c>
      <c r="BE4">
        <v>110</v>
      </c>
      <c r="BF4">
        <v>115</v>
      </c>
      <c r="BG4">
        <v>110</v>
      </c>
      <c r="BH4">
        <v>110</v>
      </c>
      <c r="BI4">
        <v>115</v>
      </c>
      <c r="BJ4">
        <v>110</v>
      </c>
      <c r="BK4">
        <v>110</v>
      </c>
      <c r="BL4">
        <v>110</v>
      </c>
      <c r="BM4" s="125">
        <v>110</v>
      </c>
      <c r="BN4" s="125">
        <v>110</v>
      </c>
      <c r="BP4">
        <v>4</v>
      </c>
      <c r="BQ4">
        <v>5</v>
      </c>
      <c r="BR4">
        <v>4</v>
      </c>
      <c r="BT4">
        <v>4</v>
      </c>
      <c r="BU4">
        <v>5</v>
      </c>
      <c r="BV4">
        <v>4</v>
      </c>
      <c r="BX4">
        <v>4</v>
      </c>
      <c r="BY4">
        <v>5</v>
      </c>
      <c r="BZ4">
        <v>4</v>
      </c>
      <c r="CB4">
        <v>4</v>
      </c>
      <c r="CC4">
        <v>5</v>
      </c>
      <c r="CE4">
        <v>5</v>
      </c>
      <c r="CG4">
        <v>4</v>
      </c>
      <c r="CH4">
        <v>5</v>
      </c>
      <c r="CJ4">
        <v>4</v>
      </c>
      <c r="CL4">
        <v>4</v>
      </c>
      <c r="CM4">
        <v>5</v>
      </c>
      <c r="CO4">
        <v>4</v>
      </c>
      <c r="CQ4">
        <v>3</v>
      </c>
      <c r="CR4">
        <v>3</v>
      </c>
      <c r="CS4">
        <v>3</v>
      </c>
      <c r="CT4">
        <v>3</v>
      </c>
      <c r="CV4">
        <v>3</v>
      </c>
      <c r="CW4" s="125">
        <v>4</v>
      </c>
      <c r="CX4">
        <v>3</v>
      </c>
      <c r="CY4">
        <v>3</v>
      </c>
      <c r="DA4">
        <v>3</v>
      </c>
      <c r="DB4">
        <v>3</v>
      </c>
      <c r="DC4">
        <v>3</v>
      </c>
      <c r="DD4">
        <v>3</v>
      </c>
      <c r="DF4">
        <v>2</v>
      </c>
      <c r="DG4">
        <v>3</v>
      </c>
      <c r="DH4">
        <v>2</v>
      </c>
      <c r="DI4">
        <v>2</v>
      </c>
      <c r="DK4">
        <v>2</v>
      </c>
      <c r="DL4">
        <v>3</v>
      </c>
      <c r="DM4">
        <v>2</v>
      </c>
      <c r="DN4">
        <v>2</v>
      </c>
      <c r="DP4">
        <v>2</v>
      </c>
      <c r="DQ4">
        <v>3</v>
      </c>
      <c r="DR4">
        <v>2</v>
      </c>
      <c r="DS4">
        <v>2</v>
      </c>
      <c r="DU4">
        <v>2</v>
      </c>
      <c r="DV4">
        <v>3</v>
      </c>
      <c r="DW4">
        <v>2</v>
      </c>
      <c r="DX4">
        <v>2</v>
      </c>
    </row>
    <row r="5" spans="1:128" x14ac:dyDescent="0.25">
      <c r="A5" s="120">
        <v>4</v>
      </c>
      <c r="B5" s="120" t="b">
        <v>0</v>
      </c>
      <c r="C5" s="120">
        <v>0</v>
      </c>
      <c r="D5" s="61">
        <v>1</v>
      </c>
      <c r="E5" s="120">
        <v>1</v>
      </c>
      <c r="F5" s="120" t="s">
        <v>165</v>
      </c>
      <c r="G5" s="55">
        <v>5</v>
      </c>
      <c r="H5" s="120">
        <v>18</v>
      </c>
      <c r="I5" s="57">
        <v>100</v>
      </c>
      <c r="J5" s="120">
        <v>110</v>
      </c>
      <c r="K5" s="120">
        <v>4</v>
      </c>
      <c r="L5" s="120">
        <v>100</v>
      </c>
      <c r="M5" s="120">
        <v>15</v>
      </c>
      <c r="N5" s="120">
        <v>40</v>
      </c>
      <c r="O5" s="120">
        <v>2</v>
      </c>
      <c r="P5" s="120">
        <v>-9999</v>
      </c>
      <c r="Q5" s="120">
        <v>5.3000001907348597</v>
      </c>
      <c r="R5" s="120">
        <v>4.5999999046325701</v>
      </c>
      <c r="S5" s="148">
        <v>25.899999618530298</v>
      </c>
      <c r="T5" s="120">
        <v>-9999</v>
      </c>
      <c r="U5" s="120">
        <v>50</v>
      </c>
      <c r="V5" s="120">
        <v>-9999</v>
      </c>
      <c r="W5" s="120">
        <v>-9999</v>
      </c>
      <c r="X5" s="120">
        <v>-9999</v>
      </c>
      <c r="Y5" s="120">
        <v>-9999</v>
      </c>
      <c r="Z5" s="120">
        <v>-9999</v>
      </c>
      <c r="AA5" s="120">
        <v>68</v>
      </c>
      <c r="AB5" s="120">
        <v>14.5</v>
      </c>
      <c r="AC5" s="120">
        <v>4</v>
      </c>
      <c r="AD5" s="120">
        <v>1276</v>
      </c>
      <c r="AE5" s="120">
        <v>-9999</v>
      </c>
      <c r="AF5" s="120">
        <v>-9999</v>
      </c>
      <c r="AG5" s="120">
        <v>-9999</v>
      </c>
      <c r="AH5" s="120"/>
      <c r="AJ5" t="s">
        <v>192</v>
      </c>
      <c r="AK5" s="3">
        <v>0.71</v>
      </c>
      <c r="AL5" s="3">
        <v>0.74</v>
      </c>
      <c r="AM5" s="3">
        <v>0.76</v>
      </c>
      <c r="AN5" s="3">
        <v>0.79</v>
      </c>
      <c r="AO5" s="3">
        <v>0.82</v>
      </c>
      <c r="AP5" s="3">
        <v>0.86</v>
      </c>
      <c r="AQ5" s="3">
        <v>0.88</v>
      </c>
      <c r="AR5" s="3">
        <v>0.92</v>
      </c>
      <c r="AS5" s="3">
        <v>0.94</v>
      </c>
      <c r="AT5" s="3">
        <v>0.97</v>
      </c>
      <c r="AU5" s="3">
        <v>1</v>
      </c>
      <c r="AZ5">
        <v>20</v>
      </c>
      <c r="BB5">
        <v>125</v>
      </c>
      <c r="BC5">
        <v>125</v>
      </c>
      <c r="BD5">
        <v>125</v>
      </c>
      <c r="BE5">
        <v>125</v>
      </c>
      <c r="BF5">
        <v>125</v>
      </c>
      <c r="BG5">
        <v>125</v>
      </c>
      <c r="BH5">
        <v>115</v>
      </c>
      <c r="BI5">
        <v>125</v>
      </c>
      <c r="BJ5">
        <v>115</v>
      </c>
      <c r="BK5">
        <v>115</v>
      </c>
      <c r="BL5">
        <v>115</v>
      </c>
      <c r="BM5" s="125">
        <v>115</v>
      </c>
      <c r="BN5" s="125">
        <v>115</v>
      </c>
      <c r="BP5">
        <v>5</v>
      </c>
      <c r="BR5">
        <v>5</v>
      </c>
      <c r="BT5">
        <v>5</v>
      </c>
      <c r="BV5">
        <v>5</v>
      </c>
      <c r="BX5">
        <v>5</v>
      </c>
      <c r="BZ5">
        <v>5</v>
      </c>
      <c r="CB5">
        <v>5</v>
      </c>
      <c r="CG5">
        <v>5</v>
      </c>
      <c r="CJ5">
        <v>5</v>
      </c>
      <c r="CL5">
        <v>5</v>
      </c>
      <c r="CO5">
        <v>5</v>
      </c>
      <c r="CQ5">
        <v>4</v>
      </c>
      <c r="CR5">
        <v>4</v>
      </c>
      <c r="CT5">
        <v>4</v>
      </c>
      <c r="CV5">
        <v>4</v>
      </c>
      <c r="CW5" s="125">
        <v>5</v>
      </c>
      <c r="CY5">
        <v>4</v>
      </c>
      <c r="DA5">
        <v>4</v>
      </c>
      <c r="DB5">
        <v>4</v>
      </c>
      <c r="DC5">
        <v>5</v>
      </c>
      <c r="DD5">
        <v>4</v>
      </c>
      <c r="DF5">
        <v>3</v>
      </c>
      <c r="DG5">
        <v>5</v>
      </c>
      <c r="DH5">
        <v>3</v>
      </c>
      <c r="DI5">
        <v>3</v>
      </c>
      <c r="DK5">
        <v>3</v>
      </c>
      <c r="DL5">
        <v>5</v>
      </c>
      <c r="DM5">
        <v>3</v>
      </c>
      <c r="DN5">
        <v>3</v>
      </c>
      <c r="DP5">
        <v>3</v>
      </c>
      <c r="DQ5">
        <v>5</v>
      </c>
      <c r="DR5">
        <v>3</v>
      </c>
      <c r="DS5">
        <v>3</v>
      </c>
      <c r="DU5">
        <v>3</v>
      </c>
      <c r="DV5">
        <v>5</v>
      </c>
      <c r="DW5">
        <v>3</v>
      </c>
      <c r="DX5">
        <v>3</v>
      </c>
    </row>
    <row r="6" spans="1:128" x14ac:dyDescent="0.25">
      <c r="A6" s="120">
        <v>5</v>
      </c>
      <c r="B6" s="120" t="b">
        <v>0</v>
      </c>
      <c r="C6" s="120">
        <v>0</v>
      </c>
      <c r="D6" s="61">
        <v>1</v>
      </c>
      <c r="E6" s="120">
        <v>1</v>
      </c>
      <c r="F6" s="120" t="s">
        <v>165</v>
      </c>
      <c r="G6" s="55">
        <v>5</v>
      </c>
      <c r="H6" s="120">
        <v>18</v>
      </c>
      <c r="I6" s="57">
        <v>100</v>
      </c>
      <c r="J6" s="120">
        <v>110</v>
      </c>
      <c r="K6" s="120">
        <v>11</v>
      </c>
      <c r="L6" s="120">
        <v>60</v>
      </c>
      <c r="M6" s="120">
        <v>15</v>
      </c>
      <c r="N6" s="120">
        <v>40</v>
      </c>
      <c r="O6" s="120">
        <v>2</v>
      </c>
      <c r="P6" s="120">
        <v>25</v>
      </c>
      <c r="Q6" s="120">
        <v>5.3000001907348597</v>
      </c>
      <c r="R6" s="120">
        <v>4.5999999046325701</v>
      </c>
      <c r="S6" s="148">
        <v>25.899999618530298</v>
      </c>
      <c r="T6" s="120">
        <v>70</v>
      </c>
      <c r="U6" s="120">
        <v>50</v>
      </c>
      <c r="V6" s="120">
        <v>-9999</v>
      </c>
      <c r="W6" s="120">
        <v>-9999</v>
      </c>
      <c r="X6" s="120">
        <v>-9999</v>
      </c>
      <c r="Y6" s="120">
        <v>-9999</v>
      </c>
      <c r="Z6" s="120">
        <v>-9999</v>
      </c>
      <c r="AA6" s="120">
        <v>68</v>
      </c>
      <c r="AB6" s="120">
        <v>14.5</v>
      </c>
      <c r="AC6" s="120">
        <v>5</v>
      </c>
      <c r="AD6" s="120">
        <v>1277</v>
      </c>
      <c r="AE6" s="120">
        <v>-9999</v>
      </c>
      <c r="AF6" s="120">
        <v>-9999</v>
      </c>
      <c r="AG6" s="120">
        <v>-9999</v>
      </c>
      <c r="AH6" s="120"/>
      <c r="AJ6" t="s">
        <v>193</v>
      </c>
      <c r="AK6" s="3">
        <v>0.26</v>
      </c>
      <c r="AL6" s="3">
        <v>0.4</v>
      </c>
      <c r="AM6" s="3">
        <v>0.54</v>
      </c>
      <c r="AN6" s="3">
        <v>0.62</v>
      </c>
      <c r="AO6" s="3">
        <v>0.82</v>
      </c>
      <c r="AP6" s="3">
        <v>0.86</v>
      </c>
      <c r="AQ6" s="3">
        <v>0.88</v>
      </c>
      <c r="AR6" s="3">
        <v>0.92</v>
      </c>
      <c r="AS6" s="3">
        <v>0.94</v>
      </c>
      <c r="AT6" s="3">
        <v>0.97</v>
      </c>
      <c r="AU6" s="3">
        <v>1</v>
      </c>
      <c r="AZ6">
        <v>25</v>
      </c>
      <c r="BH6">
        <v>125</v>
      </c>
      <c r="BJ6">
        <v>125</v>
      </c>
      <c r="BK6">
        <v>125</v>
      </c>
      <c r="BL6">
        <v>125</v>
      </c>
      <c r="BM6" s="125">
        <v>125</v>
      </c>
      <c r="BN6" s="125">
        <v>125</v>
      </c>
      <c r="CQ6">
        <v>5</v>
      </c>
      <c r="CR6">
        <v>5</v>
      </c>
      <c r="CT6">
        <v>5</v>
      </c>
      <c r="CV6">
        <v>5</v>
      </c>
      <c r="CY6">
        <v>5</v>
      </c>
      <c r="DA6">
        <v>5</v>
      </c>
      <c r="DB6">
        <v>5</v>
      </c>
      <c r="DD6">
        <v>5</v>
      </c>
      <c r="DF6">
        <v>5</v>
      </c>
      <c r="DH6">
        <v>5</v>
      </c>
      <c r="DI6">
        <v>5</v>
      </c>
      <c r="DK6">
        <v>5</v>
      </c>
      <c r="DM6">
        <v>5</v>
      </c>
      <c r="DN6">
        <v>5</v>
      </c>
      <c r="DP6">
        <v>5</v>
      </c>
      <c r="DR6">
        <v>5</v>
      </c>
      <c r="DS6">
        <v>5</v>
      </c>
      <c r="DU6">
        <v>5</v>
      </c>
      <c r="DW6">
        <v>5</v>
      </c>
      <c r="DX6">
        <v>5</v>
      </c>
    </row>
    <row r="7" spans="1:128" x14ac:dyDescent="0.25">
      <c r="A7" s="120">
        <v>6</v>
      </c>
      <c r="B7" s="120" t="b">
        <v>0</v>
      </c>
      <c r="C7" s="120">
        <v>0</v>
      </c>
      <c r="D7" s="61">
        <v>1</v>
      </c>
      <c r="E7" s="120">
        <v>1</v>
      </c>
      <c r="F7" s="120" t="s">
        <v>165</v>
      </c>
      <c r="G7" s="55">
        <v>5</v>
      </c>
      <c r="H7" s="120">
        <v>18</v>
      </c>
      <c r="I7" s="57">
        <v>125</v>
      </c>
      <c r="J7" s="120">
        <v>135</v>
      </c>
      <c r="K7" s="120">
        <v>1</v>
      </c>
      <c r="L7" s="120">
        <v>50</v>
      </c>
      <c r="M7" s="120">
        <v>15</v>
      </c>
      <c r="N7" s="120">
        <v>40</v>
      </c>
      <c r="O7" s="120">
        <v>2</v>
      </c>
      <c r="P7" s="120">
        <v>5</v>
      </c>
      <c r="Q7" s="120">
        <v>5.3000001907348597</v>
      </c>
      <c r="R7" s="120">
        <v>4.5999999046325701</v>
      </c>
      <c r="S7" s="148">
        <v>26.299999237060501</v>
      </c>
      <c r="T7" s="120">
        <v>65</v>
      </c>
      <c r="U7" s="120">
        <v>45</v>
      </c>
      <c r="V7" s="120">
        <v>-9999</v>
      </c>
      <c r="W7" s="120">
        <v>-9999</v>
      </c>
      <c r="X7" s="120">
        <v>-9999</v>
      </c>
      <c r="Y7" s="120">
        <v>-9999</v>
      </c>
      <c r="Z7" s="120">
        <v>-9999</v>
      </c>
      <c r="AA7" s="120">
        <v>68</v>
      </c>
      <c r="AB7" s="120">
        <v>14.5</v>
      </c>
      <c r="AC7" s="120">
        <v>6</v>
      </c>
      <c r="AD7" s="120">
        <v>1278</v>
      </c>
      <c r="AE7" s="120">
        <v>-9999</v>
      </c>
      <c r="AF7" s="120">
        <v>-9999</v>
      </c>
      <c r="AG7" s="120">
        <v>-9999</v>
      </c>
      <c r="AH7" s="120"/>
      <c r="AJ7" t="s">
        <v>287</v>
      </c>
      <c r="AK7" s="3">
        <v>0.25</v>
      </c>
      <c r="AL7" s="3">
        <v>0.34</v>
      </c>
      <c r="AM7" s="3">
        <v>0.44</v>
      </c>
      <c r="AN7" s="3">
        <v>0.52</v>
      </c>
      <c r="AO7" s="3">
        <v>0.61</v>
      </c>
      <c r="AP7" s="3">
        <v>0.63</v>
      </c>
      <c r="AQ7" s="3">
        <v>0.69</v>
      </c>
      <c r="AR7" s="3">
        <v>0.77</v>
      </c>
      <c r="AS7" s="3">
        <v>0.85</v>
      </c>
      <c r="AT7" s="3">
        <v>0.91</v>
      </c>
      <c r="AU7" s="3">
        <v>1</v>
      </c>
      <c r="AZ7">
        <v>30</v>
      </c>
    </row>
    <row r="8" spans="1:128" ht="33.75" customHeight="1" x14ac:dyDescent="0.25">
      <c r="A8" s="120">
        <v>7</v>
      </c>
      <c r="B8" s="120" t="b">
        <v>0</v>
      </c>
      <c r="C8" s="120">
        <v>0</v>
      </c>
      <c r="D8" s="61">
        <v>1</v>
      </c>
      <c r="E8" s="120">
        <v>1</v>
      </c>
      <c r="F8" s="120" t="s">
        <v>165</v>
      </c>
      <c r="G8" s="55">
        <v>5</v>
      </c>
      <c r="H8" s="120">
        <v>18</v>
      </c>
      <c r="I8" s="57">
        <v>125</v>
      </c>
      <c r="J8" s="120">
        <v>125</v>
      </c>
      <c r="K8" s="120">
        <v>2</v>
      </c>
      <c r="L8" s="120">
        <v>50</v>
      </c>
      <c r="M8" s="120">
        <v>15</v>
      </c>
      <c r="N8" s="120">
        <v>40</v>
      </c>
      <c r="O8" s="120">
        <v>2</v>
      </c>
      <c r="P8" s="120">
        <v>20</v>
      </c>
      <c r="Q8" s="120">
        <v>5.5</v>
      </c>
      <c r="R8" s="120">
        <v>4.8000001907348597</v>
      </c>
      <c r="S8" s="148">
        <v>26.299999237060501</v>
      </c>
      <c r="T8" s="120">
        <v>65</v>
      </c>
      <c r="U8" s="120">
        <v>45</v>
      </c>
      <c r="V8" s="120">
        <v>-9999</v>
      </c>
      <c r="W8" s="120">
        <v>-9999</v>
      </c>
      <c r="X8" s="120">
        <v>-9999</v>
      </c>
      <c r="Y8" s="120">
        <v>-9999</v>
      </c>
      <c r="Z8" s="120">
        <v>-9999</v>
      </c>
      <c r="AA8" s="120">
        <v>68</v>
      </c>
      <c r="AB8" s="120">
        <v>14.5</v>
      </c>
      <c r="AC8" s="120">
        <v>7</v>
      </c>
      <c r="AD8" s="120">
        <v>1279</v>
      </c>
      <c r="AE8" s="120">
        <v>-9999</v>
      </c>
      <c r="AF8" s="120">
        <v>-9999</v>
      </c>
      <c r="AG8" s="120">
        <v>-9999</v>
      </c>
      <c r="AH8" s="120"/>
      <c r="AJ8" t="s">
        <v>194</v>
      </c>
      <c r="AK8" s="3">
        <v>0.12</v>
      </c>
      <c r="AL8" s="3">
        <v>0.2</v>
      </c>
      <c r="AM8" s="3">
        <v>0.28000000000000003</v>
      </c>
      <c r="AN8" s="3">
        <v>0.36</v>
      </c>
      <c r="AO8" s="3">
        <v>0.45</v>
      </c>
      <c r="AP8" s="3">
        <v>0.53</v>
      </c>
      <c r="AQ8" s="3">
        <v>0.6</v>
      </c>
      <c r="AR8" s="3">
        <v>0.71</v>
      </c>
      <c r="AS8" s="3">
        <v>0.8</v>
      </c>
      <c r="AT8" s="3">
        <v>0.89</v>
      </c>
      <c r="AU8" s="3">
        <v>1</v>
      </c>
      <c r="AZ8">
        <v>40</v>
      </c>
      <c r="BV8" s="329" t="s">
        <v>449</v>
      </c>
      <c r="BW8" s="329"/>
      <c r="BX8" s="329"/>
      <c r="BY8" s="329"/>
      <c r="BZ8" s="329"/>
      <c r="CA8" s="329"/>
      <c r="CB8" s="329"/>
      <c r="CC8" s="329"/>
      <c r="CD8" s="329"/>
    </row>
    <row r="9" spans="1:128" ht="43.5" customHeight="1" x14ac:dyDescent="0.25">
      <c r="A9" s="120">
        <v>8</v>
      </c>
      <c r="B9" s="120" t="b">
        <v>0</v>
      </c>
      <c r="C9" s="120">
        <v>0</v>
      </c>
      <c r="D9" s="61">
        <v>1</v>
      </c>
      <c r="E9" s="120">
        <v>1</v>
      </c>
      <c r="F9" s="120" t="s">
        <v>165</v>
      </c>
      <c r="G9" s="55">
        <v>5</v>
      </c>
      <c r="H9" s="120">
        <v>18</v>
      </c>
      <c r="I9" s="57">
        <v>125</v>
      </c>
      <c r="J9" s="120">
        <v>125</v>
      </c>
      <c r="K9" s="120">
        <v>3</v>
      </c>
      <c r="L9" s="120">
        <v>40</v>
      </c>
      <c r="M9" s="120">
        <v>15</v>
      </c>
      <c r="N9" s="120">
        <v>40</v>
      </c>
      <c r="O9" s="120">
        <v>2</v>
      </c>
      <c r="P9" s="120">
        <v>16.666999816894499</v>
      </c>
      <c r="Q9" s="120">
        <v>5.5</v>
      </c>
      <c r="R9" s="120">
        <v>4.8000001907348597</v>
      </c>
      <c r="S9" s="148">
        <v>26.299999237060501</v>
      </c>
      <c r="T9" s="120">
        <v>57</v>
      </c>
      <c r="U9" s="120">
        <v>45</v>
      </c>
      <c r="V9" s="120">
        <v>-9999</v>
      </c>
      <c r="W9" s="120">
        <v>-9999</v>
      </c>
      <c r="X9" s="120">
        <v>-9999</v>
      </c>
      <c r="Y9" s="120">
        <v>-9999</v>
      </c>
      <c r="Z9" s="120">
        <v>-9999</v>
      </c>
      <c r="AA9" s="120">
        <v>68</v>
      </c>
      <c r="AB9" s="120">
        <v>14.5</v>
      </c>
      <c r="AC9" s="120">
        <v>8</v>
      </c>
      <c r="AD9" s="120">
        <v>1280</v>
      </c>
      <c r="AE9" s="120">
        <v>-9999</v>
      </c>
      <c r="AF9" s="120">
        <v>-9999</v>
      </c>
      <c r="AG9" s="120">
        <v>-9999</v>
      </c>
      <c r="AH9" s="120"/>
      <c r="AJ9" t="s">
        <v>195</v>
      </c>
      <c r="AK9" s="3">
        <v>0</v>
      </c>
      <c r="AL9" s="3">
        <v>0.12</v>
      </c>
      <c r="AM9" s="3">
        <v>0.24</v>
      </c>
      <c r="AN9" s="3">
        <v>0.33</v>
      </c>
      <c r="AO9" s="3">
        <v>0.41</v>
      </c>
      <c r="AP9" s="3">
        <v>0.56000000000000005</v>
      </c>
      <c r="AQ9" s="3">
        <v>0.6</v>
      </c>
      <c r="AR9" s="3">
        <v>0.71</v>
      </c>
      <c r="AS9" s="3">
        <v>0.8</v>
      </c>
      <c r="AT9" s="3">
        <v>0.89</v>
      </c>
      <c r="AU9" s="3">
        <v>1</v>
      </c>
      <c r="AZ9">
        <v>50</v>
      </c>
      <c r="BS9" t="s">
        <v>362</v>
      </c>
      <c r="BV9" s="334" t="s">
        <v>451</v>
      </c>
      <c r="BW9" s="334"/>
      <c r="BX9" s="334"/>
      <c r="BY9" s="334"/>
      <c r="BZ9" s="334"/>
      <c r="CA9" s="334"/>
      <c r="CB9" s="334"/>
      <c r="CC9" s="334"/>
      <c r="CD9" s="334"/>
    </row>
    <row r="10" spans="1:128" x14ac:dyDescent="0.25">
      <c r="A10" s="120">
        <v>9</v>
      </c>
      <c r="B10" s="120" t="b">
        <v>0</v>
      </c>
      <c r="C10" s="120">
        <v>0</v>
      </c>
      <c r="D10" s="61">
        <v>1</v>
      </c>
      <c r="E10" s="120">
        <v>1</v>
      </c>
      <c r="F10" s="120" t="s">
        <v>165</v>
      </c>
      <c r="G10" s="55">
        <v>5</v>
      </c>
      <c r="H10" s="120">
        <v>18</v>
      </c>
      <c r="I10" s="57">
        <v>125</v>
      </c>
      <c r="J10" s="120">
        <v>135</v>
      </c>
      <c r="K10" s="120">
        <v>4</v>
      </c>
      <c r="L10" s="120">
        <v>100</v>
      </c>
      <c r="M10" s="120">
        <v>15</v>
      </c>
      <c r="N10" s="120">
        <v>40</v>
      </c>
      <c r="O10" s="120">
        <v>2</v>
      </c>
      <c r="P10" s="120">
        <v>-9999</v>
      </c>
      <c r="Q10" s="120">
        <v>5.3000001907348597</v>
      </c>
      <c r="R10" s="120">
        <v>4.5999999046325701</v>
      </c>
      <c r="S10" s="148">
        <v>26.299999237060501</v>
      </c>
      <c r="T10" s="120">
        <v>-9999</v>
      </c>
      <c r="U10" s="120">
        <v>45</v>
      </c>
      <c r="V10" s="120">
        <v>-9999</v>
      </c>
      <c r="W10" s="120">
        <v>-9999</v>
      </c>
      <c r="X10" s="120">
        <v>-9999</v>
      </c>
      <c r="Y10" s="120">
        <v>-9999</v>
      </c>
      <c r="Z10" s="120">
        <v>-9999</v>
      </c>
      <c r="AA10" s="120">
        <v>68</v>
      </c>
      <c r="AB10" s="120">
        <v>14.5</v>
      </c>
      <c r="AC10" s="120">
        <v>9</v>
      </c>
      <c r="AD10" s="120">
        <v>1281</v>
      </c>
      <c r="AE10" s="120">
        <v>-9999</v>
      </c>
      <c r="AF10" s="120">
        <v>-9999</v>
      </c>
      <c r="AG10" s="120">
        <v>-9999</v>
      </c>
      <c r="AH10" s="120"/>
      <c r="AJ10" s="111" t="s">
        <v>87</v>
      </c>
      <c r="AK10" s="112" t="e">
        <f>AK2/AK1</f>
        <v>#DIV/0!</v>
      </c>
      <c r="AL10" s="112">
        <f t="shared" ref="AL10:AL17" si="0">AL2/$AL$1</f>
        <v>1</v>
      </c>
      <c r="AM10" s="112">
        <f t="shared" ref="AM10:AM17" si="1">AM2/$AM$1</f>
        <v>1</v>
      </c>
      <c r="AN10" s="112">
        <f t="shared" ref="AN10:AN17" si="2">AN2/$AN$1</f>
        <v>1</v>
      </c>
      <c r="AO10" s="112">
        <f t="shared" ref="AO10:AO17" si="3">AO2/$AO$1</f>
        <v>1</v>
      </c>
      <c r="AP10" s="112">
        <f t="shared" ref="AP10:AP17" si="4">AP2/$AP$1</f>
        <v>1</v>
      </c>
      <c r="AQ10" s="112">
        <f t="shared" ref="AQ10:AQ17" si="5">AQ2/$AQ$1</f>
        <v>1</v>
      </c>
      <c r="AR10" s="112">
        <f t="shared" ref="AR10:AR17" si="6">AR2/$AR$1</f>
        <v>1</v>
      </c>
      <c r="AS10" s="112">
        <f t="shared" ref="AS10:AS17" si="7">AS2/$AS$1</f>
        <v>1</v>
      </c>
      <c r="AT10" s="112">
        <f t="shared" ref="AT10:AT17" si="8">AT2/$AT$1</f>
        <v>1</v>
      </c>
      <c r="AU10" s="112">
        <f t="shared" ref="AU10:AU17" si="9">AU2/$AU$1</f>
        <v>1</v>
      </c>
      <c r="AZ10">
        <v>60</v>
      </c>
      <c r="BO10" s="136" t="s">
        <v>117</v>
      </c>
      <c r="BP10" s="137" t="s">
        <v>208</v>
      </c>
      <c r="BQ10" s="138" t="s">
        <v>448</v>
      </c>
    </row>
    <row r="11" spans="1:128" x14ac:dyDescent="0.25">
      <c r="A11" s="120">
        <v>10</v>
      </c>
      <c r="B11" s="120" t="b">
        <v>0</v>
      </c>
      <c r="C11" s="120">
        <v>0</v>
      </c>
      <c r="D11" s="61">
        <v>1</v>
      </c>
      <c r="E11" s="120">
        <v>1</v>
      </c>
      <c r="F11" s="120" t="s">
        <v>165</v>
      </c>
      <c r="G11" s="55">
        <v>5</v>
      </c>
      <c r="H11" s="120">
        <v>18</v>
      </c>
      <c r="I11" s="57">
        <v>125</v>
      </c>
      <c r="J11" s="120">
        <v>135</v>
      </c>
      <c r="K11" s="120">
        <v>11</v>
      </c>
      <c r="L11" s="120">
        <v>60</v>
      </c>
      <c r="M11" s="120">
        <v>15</v>
      </c>
      <c r="N11" s="120">
        <v>40</v>
      </c>
      <c r="O11" s="120">
        <v>2</v>
      </c>
      <c r="P11" s="120">
        <v>25</v>
      </c>
      <c r="Q11" s="120">
        <v>5.3000001907348597</v>
      </c>
      <c r="R11" s="120">
        <v>4.5999999046325701</v>
      </c>
      <c r="S11" s="148">
        <v>26.299999237060501</v>
      </c>
      <c r="T11" s="120">
        <v>70</v>
      </c>
      <c r="U11" s="120">
        <v>45</v>
      </c>
      <c r="V11" s="120">
        <v>-9999</v>
      </c>
      <c r="W11" s="120">
        <v>-9999</v>
      </c>
      <c r="X11" s="120">
        <v>-9999</v>
      </c>
      <c r="Y11" s="120">
        <v>-9999</v>
      </c>
      <c r="Z11" s="120">
        <v>-9999</v>
      </c>
      <c r="AA11" s="120">
        <v>68</v>
      </c>
      <c r="AB11" s="120">
        <v>14.5</v>
      </c>
      <c r="AC11" s="120">
        <v>10</v>
      </c>
      <c r="AD11" s="120">
        <v>1282</v>
      </c>
      <c r="AE11" s="120">
        <v>-9999</v>
      </c>
      <c r="AF11" s="120">
        <v>-9999</v>
      </c>
      <c r="AG11" s="120">
        <v>-9999</v>
      </c>
      <c r="AH11" s="120"/>
      <c r="AJ11" s="111" t="s">
        <v>190</v>
      </c>
      <c r="AK11" s="112" t="e">
        <f t="shared" ref="AK11:AK17" si="10">AK3/$AK$1</f>
        <v>#DIV/0!</v>
      </c>
      <c r="AL11" s="112">
        <f t="shared" si="0"/>
        <v>3.1999999999999997</v>
      </c>
      <c r="AM11" s="112">
        <f t="shared" si="1"/>
        <v>3.15</v>
      </c>
      <c r="AN11" s="112">
        <f t="shared" si="2"/>
        <v>2.4666666666666668</v>
      </c>
      <c r="AO11" s="112">
        <f t="shared" si="3"/>
        <v>2.0249999999999999</v>
      </c>
      <c r="AP11" s="112">
        <f t="shared" si="4"/>
        <v>1.74</v>
      </c>
      <c r="AQ11" s="112">
        <f t="shared" si="5"/>
        <v>1.5333333333333334</v>
      </c>
      <c r="AR11" s="112">
        <f t="shared" si="6"/>
        <v>1.3571428571428572</v>
      </c>
      <c r="AS11" s="112">
        <f t="shared" si="7"/>
        <v>1.2249999999999999</v>
      </c>
      <c r="AT11" s="112">
        <f t="shared" si="8"/>
        <v>1.1111111111111112</v>
      </c>
      <c r="AU11" s="112">
        <f t="shared" si="9"/>
        <v>1</v>
      </c>
      <c r="AZ11">
        <v>75</v>
      </c>
      <c r="BL11" t="s">
        <v>117</v>
      </c>
      <c r="BM11" t="s">
        <v>208</v>
      </c>
      <c r="BO11">
        <v>5</v>
      </c>
      <c r="BP11">
        <v>100</v>
      </c>
      <c r="BQ11" t="s">
        <v>108</v>
      </c>
      <c r="BV11" s="128" t="e">
        <f t="array" ref="BV11">MATCH(Advanced!$C$30&amp;Advanced!$C$31,Compressors!$BO$12:$BO$173&amp;Compressors!$BP$12:$BP$173,0)</f>
        <v>#N/A</v>
      </c>
      <c r="BW11" s="129" t="e">
        <f t="array" ref="BW11">MATCH(Advanced!$C$30&amp;Advanced!$C$31,Compressors!$BO$12:$BO$173&amp;Compressors!$BP$12:$BP$173,1)</f>
        <v>#N/A</v>
      </c>
      <c r="BX11">
        <f t="array" ref="BX11">MATCH(Advanced!$C$30&amp;Advanced!$C$31,Compressors!$BO$12:$BO$173&amp;Compressors!$BP$12:$BP$173,-1)</f>
        <v>162</v>
      </c>
    </row>
    <row r="12" spans="1:128" x14ac:dyDescent="0.25">
      <c r="A12" s="120">
        <v>11</v>
      </c>
      <c r="B12" s="120" t="b">
        <v>0</v>
      </c>
      <c r="C12" s="120">
        <v>0</v>
      </c>
      <c r="D12" s="61">
        <v>1</v>
      </c>
      <c r="E12" s="120">
        <v>1</v>
      </c>
      <c r="F12" s="120" t="s">
        <v>165</v>
      </c>
      <c r="G12" s="55">
        <v>5</v>
      </c>
      <c r="H12" s="120">
        <v>12</v>
      </c>
      <c r="I12" s="57">
        <v>175</v>
      </c>
      <c r="J12" s="120">
        <v>185</v>
      </c>
      <c r="K12" s="120">
        <v>1</v>
      </c>
      <c r="L12" s="120">
        <v>50</v>
      </c>
      <c r="M12" s="120">
        <v>15</v>
      </c>
      <c r="N12" s="120">
        <v>40</v>
      </c>
      <c r="O12" s="120">
        <v>2</v>
      </c>
      <c r="P12" s="120">
        <v>5</v>
      </c>
      <c r="Q12" s="120">
        <v>5.3000001907348597</v>
      </c>
      <c r="R12" s="120">
        <v>4.5999999046325701</v>
      </c>
      <c r="S12" s="148">
        <v>37.099998474121101</v>
      </c>
      <c r="T12" s="120">
        <v>65</v>
      </c>
      <c r="U12" s="120">
        <v>36</v>
      </c>
      <c r="V12" s="120">
        <v>-9999</v>
      </c>
      <c r="W12" s="120">
        <v>-9999</v>
      </c>
      <c r="X12" s="120">
        <v>-9999</v>
      </c>
      <c r="Y12" s="120">
        <v>-9999</v>
      </c>
      <c r="Z12" s="120">
        <v>-9999</v>
      </c>
      <c r="AA12" s="120">
        <v>68</v>
      </c>
      <c r="AB12" s="120">
        <v>14.5</v>
      </c>
      <c r="AC12" s="120">
        <v>11</v>
      </c>
      <c r="AD12" s="120">
        <v>1283</v>
      </c>
      <c r="AE12" s="120">
        <v>-9999</v>
      </c>
      <c r="AF12" s="120">
        <v>-9999</v>
      </c>
      <c r="AG12" s="120">
        <v>-9999</v>
      </c>
      <c r="AH12" s="120"/>
      <c r="AJ12" s="111" t="s">
        <v>191</v>
      </c>
      <c r="AK12" s="112" t="e">
        <f t="shared" si="10"/>
        <v>#DIV/0!</v>
      </c>
      <c r="AL12" s="112">
        <f t="shared" si="0"/>
        <v>3.4999999999999996</v>
      </c>
      <c r="AM12" s="112">
        <f t="shared" si="1"/>
        <v>2.0999999999999996</v>
      </c>
      <c r="AN12" s="112">
        <f t="shared" si="2"/>
        <v>1.7333333333333334</v>
      </c>
      <c r="AO12" s="112">
        <f t="shared" si="3"/>
        <v>1.4999999999999998</v>
      </c>
      <c r="AP12" s="112">
        <f t="shared" si="4"/>
        <v>1.36</v>
      </c>
      <c r="AQ12" s="112">
        <f t="shared" si="5"/>
        <v>1.2666666666666668</v>
      </c>
      <c r="AR12" s="112">
        <f t="shared" si="6"/>
        <v>1.1857142857142857</v>
      </c>
      <c r="AS12" s="112">
        <f t="shared" si="7"/>
        <v>1.1125</v>
      </c>
      <c r="AT12" s="112">
        <f t="shared" si="8"/>
        <v>1.0666666666666667</v>
      </c>
      <c r="AU12" s="112">
        <f t="shared" si="9"/>
        <v>1</v>
      </c>
      <c r="AZ12">
        <v>100</v>
      </c>
      <c r="BL12">
        <v>5</v>
      </c>
      <c r="BM12" s="125">
        <v>100</v>
      </c>
      <c r="BO12" s="126">
        <v>5</v>
      </c>
      <c r="BP12" s="133">
        <v>100</v>
      </c>
      <c r="BQ12" s="134" t="s">
        <v>491</v>
      </c>
    </row>
    <row r="13" spans="1:128" x14ac:dyDescent="0.25">
      <c r="A13" s="120">
        <v>12</v>
      </c>
      <c r="B13" s="120" t="b">
        <v>0</v>
      </c>
      <c r="C13" s="120">
        <v>0</v>
      </c>
      <c r="D13" s="61">
        <v>1</v>
      </c>
      <c r="E13" s="120">
        <v>1</v>
      </c>
      <c r="F13" s="120" t="s">
        <v>165</v>
      </c>
      <c r="G13" s="55">
        <v>5</v>
      </c>
      <c r="H13" s="120">
        <v>13</v>
      </c>
      <c r="I13" s="57">
        <v>175</v>
      </c>
      <c r="J13" s="120">
        <v>175</v>
      </c>
      <c r="K13" s="120">
        <v>2</v>
      </c>
      <c r="L13" s="120">
        <v>50</v>
      </c>
      <c r="M13" s="120">
        <v>15</v>
      </c>
      <c r="N13" s="120">
        <v>40</v>
      </c>
      <c r="O13" s="120">
        <v>2</v>
      </c>
      <c r="P13" s="120">
        <v>20</v>
      </c>
      <c r="Q13" s="120">
        <v>5.5</v>
      </c>
      <c r="R13" s="120">
        <v>4.8000001907348597</v>
      </c>
      <c r="S13" s="148">
        <v>37.099998474121101</v>
      </c>
      <c r="T13" s="120">
        <v>65</v>
      </c>
      <c r="U13" s="120">
        <v>36</v>
      </c>
      <c r="V13" s="120">
        <v>-9999</v>
      </c>
      <c r="W13" s="120">
        <v>-9999</v>
      </c>
      <c r="X13" s="120">
        <v>-9999</v>
      </c>
      <c r="Y13" s="120">
        <v>-9999</v>
      </c>
      <c r="Z13" s="120">
        <v>-9999</v>
      </c>
      <c r="AA13" s="120">
        <v>68</v>
      </c>
      <c r="AB13" s="120">
        <v>14.5</v>
      </c>
      <c r="AC13" s="120">
        <v>12</v>
      </c>
      <c r="AD13" s="120">
        <v>1284</v>
      </c>
      <c r="AE13" s="120">
        <v>-9999</v>
      </c>
      <c r="AF13" s="120">
        <v>-9999</v>
      </c>
      <c r="AG13" s="120">
        <v>-9999</v>
      </c>
      <c r="AH13" s="120"/>
      <c r="AJ13" s="111" t="s">
        <v>192</v>
      </c>
      <c r="AK13" s="112" t="e">
        <f t="shared" si="10"/>
        <v>#DIV/0!</v>
      </c>
      <c r="AL13" s="112">
        <f t="shared" si="0"/>
        <v>7.3999999999999995</v>
      </c>
      <c r="AM13" s="112">
        <f t="shared" si="1"/>
        <v>3.8</v>
      </c>
      <c r="AN13" s="112">
        <f t="shared" si="2"/>
        <v>2.6333333333333337</v>
      </c>
      <c r="AO13" s="112">
        <f t="shared" si="3"/>
        <v>2.0499999999999998</v>
      </c>
      <c r="AP13" s="112">
        <f t="shared" si="4"/>
        <v>1.72</v>
      </c>
      <c r="AQ13" s="112">
        <f t="shared" si="5"/>
        <v>1.4666666666666668</v>
      </c>
      <c r="AR13" s="112">
        <f t="shared" si="6"/>
        <v>1.3142857142857145</v>
      </c>
      <c r="AS13" s="112">
        <f t="shared" si="7"/>
        <v>1.1749999999999998</v>
      </c>
      <c r="AT13" s="112">
        <f t="shared" si="8"/>
        <v>1.0777777777777777</v>
      </c>
      <c r="AU13" s="112">
        <f t="shared" si="9"/>
        <v>1</v>
      </c>
      <c r="AZ13">
        <v>125</v>
      </c>
      <c r="BL13">
        <v>5</v>
      </c>
      <c r="BM13" s="125">
        <v>110</v>
      </c>
      <c r="BO13" s="126">
        <v>5</v>
      </c>
      <c r="BP13" s="133">
        <v>100</v>
      </c>
      <c r="BQ13" s="135" t="s">
        <v>492</v>
      </c>
      <c r="BX13" s="128" t="s">
        <v>450</v>
      </c>
    </row>
    <row r="14" spans="1:128" x14ac:dyDescent="0.25">
      <c r="A14" s="120">
        <v>13</v>
      </c>
      <c r="B14" s="120" t="b">
        <v>0</v>
      </c>
      <c r="C14" s="120">
        <v>0</v>
      </c>
      <c r="D14" s="61">
        <v>1</v>
      </c>
      <c r="E14" s="120">
        <v>1</v>
      </c>
      <c r="F14" s="120" t="s">
        <v>165</v>
      </c>
      <c r="G14" s="55">
        <v>5</v>
      </c>
      <c r="H14" s="120">
        <v>13</v>
      </c>
      <c r="I14" s="57">
        <v>175</v>
      </c>
      <c r="J14" s="120">
        <v>175</v>
      </c>
      <c r="K14" s="120">
        <v>3</v>
      </c>
      <c r="L14" s="120">
        <v>40</v>
      </c>
      <c r="M14" s="120">
        <v>15</v>
      </c>
      <c r="N14" s="120">
        <v>40</v>
      </c>
      <c r="O14" s="120">
        <v>2</v>
      </c>
      <c r="P14" s="120">
        <v>16.666999816894499</v>
      </c>
      <c r="Q14" s="120">
        <v>5.5</v>
      </c>
      <c r="R14" s="120">
        <v>4.8000001907348597</v>
      </c>
      <c r="S14" s="148">
        <v>37.099998474121101</v>
      </c>
      <c r="T14" s="120">
        <v>57</v>
      </c>
      <c r="U14" s="120">
        <v>36</v>
      </c>
      <c r="V14" s="120">
        <v>-9999</v>
      </c>
      <c r="W14" s="120">
        <v>-9999</v>
      </c>
      <c r="X14" s="120">
        <v>-9999</v>
      </c>
      <c r="Y14" s="120">
        <v>-9999</v>
      </c>
      <c r="Z14" s="120">
        <v>-9999</v>
      </c>
      <c r="AA14" s="120">
        <v>68</v>
      </c>
      <c r="AB14" s="120">
        <v>14.5</v>
      </c>
      <c r="AC14" s="120">
        <v>13</v>
      </c>
      <c r="AD14" s="120">
        <v>1285</v>
      </c>
      <c r="AE14" s="120">
        <v>-9999</v>
      </c>
      <c r="AF14" s="120">
        <v>-9999</v>
      </c>
      <c r="AG14" s="120">
        <v>-9999</v>
      </c>
      <c r="AH14" s="120"/>
      <c r="AJ14" s="111" t="s">
        <v>193</v>
      </c>
      <c r="AK14" s="112" t="e">
        <f t="shared" si="10"/>
        <v>#DIV/0!</v>
      </c>
      <c r="AL14" s="112">
        <f t="shared" si="0"/>
        <v>4</v>
      </c>
      <c r="AM14" s="112">
        <f t="shared" si="1"/>
        <v>2.7</v>
      </c>
      <c r="AN14" s="112">
        <f t="shared" si="2"/>
        <v>2.0666666666666669</v>
      </c>
      <c r="AO14" s="112">
        <f t="shared" si="3"/>
        <v>2.0499999999999998</v>
      </c>
      <c r="AP14" s="112">
        <f t="shared" si="4"/>
        <v>1.72</v>
      </c>
      <c r="AQ14" s="112">
        <f t="shared" si="5"/>
        <v>1.4666666666666668</v>
      </c>
      <c r="AR14" s="112">
        <f t="shared" si="6"/>
        <v>1.3142857142857145</v>
      </c>
      <c r="AS14" s="112">
        <f t="shared" si="7"/>
        <v>1.1749999999999998</v>
      </c>
      <c r="AT14" s="112">
        <f t="shared" si="8"/>
        <v>1.0777777777777777</v>
      </c>
      <c r="AU14" s="112">
        <f t="shared" si="9"/>
        <v>1</v>
      </c>
      <c r="AZ14">
        <v>150</v>
      </c>
      <c r="BL14">
        <v>5</v>
      </c>
      <c r="BM14" s="125">
        <v>125</v>
      </c>
      <c r="BO14" s="126">
        <v>5</v>
      </c>
      <c r="BP14" s="133">
        <v>100</v>
      </c>
      <c r="BQ14" s="134" t="s">
        <v>363</v>
      </c>
      <c r="BX14" t="e">
        <f>MATCH(Advanced!$C$31,Compressors!$BP$12:$BP$173,0)</f>
        <v>#N/A</v>
      </c>
      <c r="BY14" t="e">
        <f>MATCH(Advanced!$C$31,Compressors!$BP$12:$BP$173,1)</f>
        <v>#N/A</v>
      </c>
    </row>
    <row r="15" spans="1:128" x14ac:dyDescent="0.25">
      <c r="A15" s="120">
        <v>14</v>
      </c>
      <c r="B15" s="120" t="b">
        <v>0</v>
      </c>
      <c r="C15" s="120">
        <v>0</v>
      </c>
      <c r="D15" s="61">
        <v>1</v>
      </c>
      <c r="E15" s="120">
        <v>1</v>
      </c>
      <c r="F15" s="120" t="s">
        <v>165</v>
      </c>
      <c r="G15" s="55">
        <v>5</v>
      </c>
      <c r="H15" s="120">
        <v>12</v>
      </c>
      <c r="I15" s="57">
        <v>175</v>
      </c>
      <c r="J15" s="120">
        <v>185</v>
      </c>
      <c r="K15" s="120">
        <v>4</v>
      </c>
      <c r="L15" s="120">
        <v>100</v>
      </c>
      <c r="M15" s="120">
        <v>15</v>
      </c>
      <c r="N15" s="120">
        <v>40</v>
      </c>
      <c r="O15" s="120">
        <v>2</v>
      </c>
      <c r="P15" s="120">
        <v>-9999</v>
      </c>
      <c r="Q15" s="120">
        <v>5.3000001907348597</v>
      </c>
      <c r="R15" s="120">
        <v>4.5999999046325701</v>
      </c>
      <c r="S15" s="148">
        <v>37.099998474121101</v>
      </c>
      <c r="T15" s="120">
        <v>-9999</v>
      </c>
      <c r="U15" s="120">
        <v>36</v>
      </c>
      <c r="V15" s="120">
        <v>-9999</v>
      </c>
      <c r="W15" s="120">
        <v>-9999</v>
      </c>
      <c r="X15" s="120">
        <v>-9999</v>
      </c>
      <c r="Y15" s="120">
        <v>-9999</v>
      </c>
      <c r="Z15" s="120">
        <v>-9999</v>
      </c>
      <c r="AA15" s="120">
        <v>68</v>
      </c>
      <c r="AB15" s="120">
        <v>14.5</v>
      </c>
      <c r="AC15" s="120">
        <v>14</v>
      </c>
      <c r="AD15" s="120">
        <v>1286</v>
      </c>
      <c r="AE15" s="120">
        <v>-9999</v>
      </c>
      <c r="AF15" s="120">
        <v>-9999</v>
      </c>
      <c r="AG15" s="120">
        <v>-9999</v>
      </c>
      <c r="AH15" s="120"/>
      <c r="AJ15" s="111" t="s">
        <v>88</v>
      </c>
      <c r="AK15" s="112" t="e">
        <f t="shared" si="10"/>
        <v>#DIV/0!</v>
      </c>
      <c r="AL15" s="112">
        <f t="shared" si="0"/>
        <v>3.4</v>
      </c>
      <c r="AM15" s="112">
        <f t="shared" si="1"/>
        <v>2.1999999999999997</v>
      </c>
      <c r="AN15" s="112">
        <f t="shared" si="2"/>
        <v>1.7333333333333334</v>
      </c>
      <c r="AO15" s="112">
        <f t="shared" si="3"/>
        <v>1.5249999999999999</v>
      </c>
      <c r="AP15" s="112">
        <f t="shared" si="4"/>
        <v>1.26</v>
      </c>
      <c r="AQ15" s="112">
        <f t="shared" si="5"/>
        <v>1.1499999999999999</v>
      </c>
      <c r="AR15" s="112">
        <f t="shared" si="6"/>
        <v>1.1000000000000001</v>
      </c>
      <c r="AS15" s="112">
        <f t="shared" si="7"/>
        <v>1.0625</v>
      </c>
      <c r="AT15" s="112">
        <f t="shared" si="8"/>
        <v>1.0111111111111111</v>
      </c>
      <c r="AU15" s="112">
        <f t="shared" si="9"/>
        <v>1</v>
      </c>
      <c r="AZ15">
        <v>200</v>
      </c>
      <c r="BL15">
        <v>10</v>
      </c>
      <c r="BM15" s="125">
        <v>100</v>
      </c>
      <c r="BO15" s="127">
        <v>5</v>
      </c>
      <c r="BP15" s="133">
        <v>110</v>
      </c>
      <c r="BQ15" s="135" t="s">
        <v>108</v>
      </c>
      <c r="BW15">
        <f>COUNTIFS(Compressors!$BO$12:$BO$173,Advanced!$C$30,Compressors!$BP$12:$BP$173,Advanced!$C$31)</f>
        <v>0</v>
      </c>
    </row>
    <row r="16" spans="1:128" x14ac:dyDescent="0.25">
      <c r="A16" s="120">
        <v>15</v>
      </c>
      <c r="B16" s="120" t="b">
        <v>0</v>
      </c>
      <c r="C16" s="120">
        <v>0</v>
      </c>
      <c r="D16" s="61">
        <v>1</v>
      </c>
      <c r="E16" s="120">
        <v>1</v>
      </c>
      <c r="F16" s="120" t="s">
        <v>165</v>
      </c>
      <c r="G16" s="55">
        <v>5</v>
      </c>
      <c r="H16" s="120">
        <v>12</v>
      </c>
      <c r="I16" s="57">
        <v>175</v>
      </c>
      <c r="J16" s="120">
        <v>185</v>
      </c>
      <c r="K16" s="120">
        <v>11</v>
      </c>
      <c r="L16" s="120">
        <v>60</v>
      </c>
      <c r="M16" s="120">
        <v>15</v>
      </c>
      <c r="N16" s="120">
        <v>40</v>
      </c>
      <c r="O16" s="120">
        <v>2</v>
      </c>
      <c r="P16" s="120">
        <v>25</v>
      </c>
      <c r="Q16" s="120">
        <v>5.3000001907348597</v>
      </c>
      <c r="R16" s="120">
        <v>4.5999999046325701</v>
      </c>
      <c r="S16" s="148">
        <v>37.099998474121101</v>
      </c>
      <c r="T16" s="120">
        <v>70</v>
      </c>
      <c r="U16" s="120">
        <v>36</v>
      </c>
      <c r="V16" s="120">
        <v>-9999</v>
      </c>
      <c r="W16" s="120">
        <v>-9999</v>
      </c>
      <c r="X16" s="120">
        <v>-9999</v>
      </c>
      <c r="Y16" s="120">
        <v>-9999</v>
      </c>
      <c r="Z16" s="120">
        <v>-9999</v>
      </c>
      <c r="AA16" s="120">
        <v>68</v>
      </c>
      <c r="AB16" s="120">
        <v>14.5</v>
      </c>
      <c r="AC16" s="120">
        <v>15</v>
      </c>
      <c r="AD16" s="120">
        <v>1287</v>
      </c>
      <c r="AE16" s="120">
        <v>-9999</v>
      </c>
      <c r="AF16" s="120">
        <v>-9999</v>
      </c>
      <c r="AG16" s="120">
        <v>-9999</v>
      </c>
      <c r="AH16" s="120"/>
      <c r="AJ16" s="111" t="s">
        <v>194</v>
      </c>
      <c r="AK16" s="112" t="e">
        <f t="shared" si="10"/>
        <v>#DIV/0!</v>
      </c>
      <c r="AL16" s="112">
        <f t="shared" si="0"/>
        <v>2</v>
      </c>
      <c r="AM16" s="112">
        <f t="shared" si="1"/>
        <v>1.4000000000000001</v>
      </c>
      <c r="AN16" s="112">
        <f t="shared" si="2"/>
        <v>1.2</v>
      </c>
      <c r="AO16" s="112">
        <f t="shared" si="3"/>
        <v>1.125</v>
      </c>
      <c r="AP16" s="112">
        <f t="shared" si="4"/>
        <v>1.06</v>
      </c>
      <c r="AQ16" s="112">
        <f t="shared" si="5"/>
        <v>1</v>
      </c>
      <c r="AR16" s="112">
        <f t="shared" si="6"/>
        <v>1.0142857142857142</v>
      </c>
      <c r="AS16" s="112">
        <f t="shared" si="7"/>
        <v>1</v>
      </c>
      <c r="AT16" s="112">
        <f t="shared" si="8"/>
        <v>0.98888888888888893</v>
      </c>
      <c r="AU16" s="112">
        <f t="shared" si="9"/>
        <v>1</v>
      </c>
      <c r="BJ16" s="149"/>
      <c r="BK16" s="150"/>
      <c r="BL16">
        <v>10</v>
      </c>
      <c r="BM16">
        <v>110</v>
      </c>
      <c r="BO16" s="126">
        <v>5</v>
      </c>
      <c r="BP16" s="133">
        <v>110</v>
      </c>
      <c r="BQ16" s="134" t="s">
        <v>492</v>
      </c>
    </row>
    <row r="17" spans="1:84" x14ac:dyDescent="0.25">
      <c r="A17" s="120">
        <v>16</v>
      </c>
      <c r="B17" s="120" t="b">
        <v>0</v>
      </c>
      <c r="C17" s="120">
        <v>0</v>
      </c>
      <c r="D17" s="61">
        <v>1</v>
      </c>
      <c r="E17" s="120">
        <v>1</v>
      </c>
      <c r="F17" s="120" t="s">
        <v>166</v>
      </c>
      <c r="G17" s="55">
        <v>7.5</v>
      </c>
      <c r="H17" s="120">
        <v>27</v>
      </c>
      <c r="I17" s="57">
        <v>100</v>
      </c>
      <c r="J17" s="120">
        <v>110</v>
      </c>
      <c r="K17" s="120">
        <v>1</v>
      </c>
      <c r="L17" s="120">
        <v>50</v>
      </c>
      <c r="M17" s="120">
        <v>15</v>
      </c>
      <c r="N17" s="120">
        <v>40</v>
      </c>
      <c r="O17" s="120">
        <v>2</v>
      </c>
      <c r="P17" s="120">
        <v>5</v>
      </c>
      <c r="Q17" s="120">
        <v>7.9000000953674299</v>
      </c>
      <c r="R17" s="120">
        <v>6.8000001907348597</v>
      </c>
      <c r="S17" s="148">
        <v>25.399999618530298</v>
      </c>
      <c r="T17" s="120">
        <v>65</v>
      </c>
      <c r="U17" s="120">
        <v>50</v>
      </c>
      <c r="V17" s="120">
        <v>-9999</v>
      </c>
      <c r="W17" s="120">
        <v>-9999</v>
      </c>
      <c r="X17" s="120">
        <v>-9999</v>
      </c>
      <c r="Y17" s="120">
        <v>-9999</v>
      </c>
      <c r="Z17" s="120">
        <v>-9999</v>
      </c>
      <c r="AA17" s="120">
        <v>68</v>
      </c>
      <c r="AB17" s="120">
        <v>14.5</v>
      </c>
      <c r="AC17" s="120">
        <v>16</v>
      </c>
      <c r="AD17" s="120">
        <v>1288</v>
      </c>
      <c r="AE17" s="120">
        <v>-9999</v>
      </c>
      <c r="AF17" s="120">
        <v>-9999</v>
      </c>
      <c r="AG17" s="120">
        <v>-9999</v>
      </c>
      <c r="AJ17" s="111" t="s">
        <v>195</v>
      </c>
      <c r="AK17" s="112" t="e">
        <f t="shared" si="10"/>
        <v>#DIV/0!</v>
      </c>
      <c r="AL17" s="112">
        <f t="shared" si="0"/>
        <v>1.2</v>
      </c>
      <c r="AM17" s="112">
        <f t="shared" si="1"/>
        <v>1.2</v>
      </c>
      <c r="AN17" s="112">
        <f t="shared" si="2"/>
        <v>1.1000000000000001</v>
      </c>
      <c r="AO17" s="112">
        <f t="shared" si="3"/>
        <v>1.0249999999999999</v>
      </c>
      <c r="AP17" s="112">
        <f t="shared" si="4"/>
        <v>1.1200000000000001</v>
      </c>
      <c r="AQ17" s="112">
        <f t="shared" si="5"/>
        <v>1</v>
      </c>
      <c r="AR17" s="112">
        <f t="shared" si="6"/>
        <v>1.0142857142857142</v>
      </c>
      <c r="AS17" s="112">
        <f t="shared" si="7"/>
        <v>1</v>
      </c>
      <c r="AT17" s="112">
        <f t="shared" si="8"/>
        <v>0.98888888888888893</v>
      </c>
      <c r="AU17" s="112">
        <f t="shared" si="9"/>
        <v>1</v>
      </c>
      <c r="BL17">
        <v>10</v>
      </c>
      <c r="BM17" s="125">
        <v>125</v>
      </c>
      <c r="BO17" s="127">
        <v>5</v>
      </c>
      <c r="BP17" s="133">
        <v>110</v>
      </c>
      <c r="BQ17" s="135" t="s">
        <v>363</v>
      </c>
      <c r="BV17" s="334" t="s">
        <v>455</v>
      </c>
      <c r="BW17" s="334"/>
      <c r="BX17" s="334"/>
      <c r="BY17" s="334"/>
      <c r="BZ17" s="334"/>
      <c r="CA17" s="334"/>
      <c r="CB17" s="334"/>
      <c r="CC17" s="334"/>
      <c r="CD17" s="334"/>
      <c r="CE17" s="334"/>
      <c r="CF17" s="334"/>
    </row>
    <row r="18" spans="1:84" x14ac:dyDescent="0.25">
      <c r="A18" s="120">
        <v>17</v>
      </c>
      <c r="B18" s="120" t="b">
        <v>0</v>
      </c>
      <c r="C18" s="120">
        <v>0</v>
      </c>
      <c r="D18" s="61">
        <v>1</v>
      </c>
      <c r="E18" s="120">
        <v>1</v>
      </c>
      <c r="F18" s="120" t="s">
        <v>166</v>
      </c>
      <c r="G18" s="55">
        <v>7.5</v>
      </c>
      <c r="H18" s="120">
        <v>28</v>
      </c>
      <c r="I18" s="57">
        <v>100</v>
      </c>
      <c r="J18" s="120">
        <v>100</v>
      </c>
      <c r="K18" s="120">
        <v>2</v>
      </c>
      <c r="L18" s="120">
        <v>50</v>
      </c>
      <c r="M18" s="120">
        <v>15</v>
      </c>
      <c r="N18" s="120">
        <v>40</v>
      </c>
      <c r="O18" s="120">
        <v>2</v>
      </c>
      <c r="P18" s="120">
        <v>20</v>
      </c>
      <c r="Q18" s="120">
        <v>8.3000001907348597</v>
      </c>
      <c r="R18" s="120">
        <v>7.0999999046325701</v>
      </c>
      <c r="S18" s="148">
        <v>25.399999618530298</v>
      </c>
      <c r="T18" s="120">
        <v>65</v>
      </c>
      <c r="U18" s="120">
        <v>50</v>
      </c>
      <c r="V18" s="120">
        <v>-9999</v>
      </c>
      <c r="W18" s="120">
        <v>-9999</v>
      </c>
      <c r="X18" s="120">
        <v>-9999</v>
      </c>
      <c r="Y18" s="120">
        <v>-9999</v>
      </c>
      <c r="Z18" s="120">
        <v>-9999</v>
      </c>
      <c r="AA18" s="120">
        <v>68</v>
      </c>
      <c r="AB18" s="120">
        <v>14.5</v>
      </c>
      <c r="AC18" s="120">
        <v>17</v>
      </c>
      <c r="AD18" s="120">
        <v>1289</v>
      </c>
      <c r="AE18" s="120">
        <v>-9999</v>
      </c>
      <c r="AF18" s="120">
        <v>-9999</v>
      </c>
      <c r="AG18" s="120">
        <v>-9999</v>
      </c>
      <c r="AJ18" s="30" t="s">
        <v>84</v>
      </c>
      <c r="AL18" s="42">
        <f>AVERAGE(AL11:AL12)</f>
        <v>3.3499999999999996</v>
      </c>
      <c r="AM18" s="42">
        <f t="shared" ref="AM18:AU18" si="11">AVERAGE(AM11:AM12)</f>
        <v>2.625</v>
      </c>
      <c r="AN18" s="42">
        <f t="shared" si="11"/>
        <v>2.1</v>
      </c>
      <c r="AO18" s="42">
        <f t="shared" si="11"/>
        <v>1.7624999999999997</v>
      </c>
      <c r="AP18" s="42">
        <f t="shared" si="11"/>
        <v>1.55</v>
      </c>
      <c r="AQ18" s="42">
        <f t="shared" si="11"/>
        <v>1.4000000000000001</v>
      </c>
      <c r="AR18" s="42">
        <f t="shared" si="11"/>
        <v>1.2714285714285714</v>
      </c>
      <c r="AS18" s="42">
        <f t="shared" si="11"/>
        <v>1.16875</v>
      </c>
      <c r="AT18" s="42">
        <f t="shared" si="11"/>
        <v>1.088888888888889</v>
      </c>
      <c r="AU18" s="42">
        <f t="shared" si="11"/>
        <v>1</v>
      </c>
      <c r="BL18">
        <v>20</v>
      </c>
      <c r="BM18" s="125">
        <v>100</v>
      </c>
      <c r="BO18" s="132">
        <v>5</v>
      </c>
      <c r="BP18" s="140">
        <v>125</v>
      </c>
      <c r="BQ18" s="142" t="s">
        <v>108</v>
      </c>
      <c r="BU18" t="s">
        <v>453</v>
      </c>
      <c r="BV18" s="334"/>
      <c r="BW18" s="334"/>
      <c r="BX18" s="334"/>
      <c r="BY18" s="334"/>
      <c r="BZ18" s="334"/>
      <c r="CA18" s="334"/>
      <c r="CB18" s="334"/>
      <c r="CC18" s="334"/>
      <c r="CD18" s="334"/>
      <c r="CE18" s="334"/>
      <c r="CF18" s="334"/>
    </row>
    <row r="19" spans="1:84" x14ac:dyDescent="0.25">
      <c r="A19" s="120">
        <v>18</v>
      </c>
      <c r="B19" s="120" t="b">
        <v>0</v>
      </c>
      <c r="C19" s="120">
        <v>0</v>
      </c>
      <c r="D19" s="61">
        <v>1</v>
      </c>
      <c r="E19" s="120">
        <v>1</v>
      </c>
      <c r="F19" s="120" t="s">
        <v>166</v>
      </c>
      <c r="G19" s="55">
        <v>7.5</v>
      </c>
      <c r="H19" s="120">
        <v>28</v>
      </c>
      <c r="I19" s="57">
        <v>100</v>
      </c>
      <c r="J19" s="120">
        <v>100</v>
      </c>
      <c r="K19" s="120">
        <v>3</v>
      </c>
      <c r="L19" s="120">
        <v>40</v>
      </c>
      <c r="M19" s="120">
        <v>15</v>
      </c>
      <c r="N19" s="120">
        <v>40</v>
      </c>
      <c r="O19" s="120">
        <v>2</v>
      </c>
      <c r="P19" s="120">
        <v>16.666999816894499</v>
      </c>
      <c r="Q19" s="120">
        <v>8.3000001907348597</v>
      </c>
      <c r="R19" s="120">
        <v>7.0999999046325701</v>
      </c>
      <c r="S19" s="148">
        <v>25.399999618530298</v>
      </c>
      <c r="T19" s="120">
        <v>57</v>
      </c>
      <c r="U19" s="120">
        <v>50</v>
      </c>
      <c r="V19" s="120">
        <v>-9999</v>
      </c>
      <c r="W19" s="120">
        <v>-9999</v>
      </c>
      <c r="X19" s="120">
        <v>-9999</v>
      </c>
      <c r="Y19" s="120">
        <v>-9999</v>
      </c>
      <c r="Z19" s="120">
        <v>-9999</v>
      </c>
      <c r="AA19" s="120">
        <v>68</v>
      </c>
      <c r="AB19" s="120">
        <v>14.5</v>
      </c>
      <c r="AC19" s="120">
        <v>18</v>
      </c>
      <c r="AD19" s="120">
        <v>1290</v>
      </c>
      <c r="AE19" s="120">
        <v>-9999</v>
      </c>
      <c r="AF19" s="120">
        <v>-9999</v>
      </c>
      <c r="AG19" s="120">
        <v>-9999</v>
      </c>
      <c r="AJ19" s="30" t="s">
        <v>85</v>
      </c>
      <c r="AL19" s="42">
        <f>AVERAGE(AL16:AL17)</f>
        <v>1.6</v>
      </c>
      <c r="AM19" s="42">
        <f t="shared" ref="AM19:AU19" si="12">AVERAGE(AM16:AM17)</f>
        <v>1.3</v>
      </c>
      <c r="AN19" s="42">
        <f t="shared" si="12"/>
        <v>1.1499999999999999</v>
      </c>
      <c r="AO19" s="42">
        <f t="shared" si="12"/>
        <v>1.075</v>
      </c>
      <c r="AP19" s="42">
        <f t="shared" si="12"/>
        <v>1.0900000000000001</v>
      </c>
      <c r="AQ19" s="42">
        <f t="shared" si="12"/>
        <v>1</v>
      </c>
      <c r="AR19" s="42">
        <f t="shared" si="12"/>
        <v>1.0142857142857142</v>
      </c>
      <c r="AS19" s="42">
        <f t="shared" si="12"/>
        <v>1</v>
      </c>
      <c r="AT19" s="42">
        <v>1</v>
      </c>
      <c r="AU19" s="42">
        <f t="shared" si="12"/>
        <v>1</v>
      </c>
      <c r="BL19">
        <v>20</v>
      </c>
      <c r="BM19" s="125">
        <v>110</v>
      </c>
      <c r="BO19" s="131">
        <v>5</v>
      </c>
      <c r="BP19" s="139">
        <v>125</v>
      </c>
      <c r="BQ19" s="143" t="s">
        <v>491</v>
      </c>
      <c r="BV19" s="334"/>
      <c r="BW19" s="334"/>
      <c r="BX19" s="334"/>
      <c r="BY19" s="334"/>
      <c r="BZ19" s="334"/>
      <c r="CA19" s="334"/>
      <c r="CB19" s="334"/>
      <c r="CC19" s="334"/>
      <c r="CD19" s="334"/>
      <c r="CE19" s="334"/>
      <c r="CF19" s="334"/>
    </row>
    <row r="20" spans="1:84" x14ac:dyDescent="0.25">
      <c r="A20" s="120">
        <v>19</v>
      </c>
      <c r="B20" s="120" t="b">
        <v>0</v>
      </c>
      <c r="C20" s="120">
        <v>0</v>
      </c>
      <c r="D20" s="61">
        <v>1</v>
      </c>
      <c r="E20" s="120">
        <v>1</v>
      </c>
      <c r="F20" s="120" t="s">
        <v>166</v>
      </c>
      <c r="G20" s="55">
        <v>7.5</v>
      </c>
      <c r="H20" s="120">
        <v>27</v>
      </c>
      <c r="I20" s="57">
        <v>100</v>
      </c>
      <c r="J20" s="120">
        <v>110</v>
      </c>
      <c r="K20" s="120">
        <v>4</v>
      </c>
      <c r="L20" s="120">
        <v>100</v>
      </c>
      <c r="M20" s="120">
        <v>15</v>
      </c>
      <c r="N20" s="120">
        <v>40</v>
      </c>
      <c r="O20" s="120">
        <v>2</v>
      </c>
      <c r="P20" s="120">
        <v>-9999</v>
      </c>
      <c r="Q20" s="120">
        <v>7.9000000953674299</v>
      </c>
      <c r="R20" s="120">
        <v>6.8000001907348597</v>
      </c>
      <c r="S20" s="148">
        <v>25.399999618530298</v>
      </c>
      <c r="T20" s="120">
        <v>-9999</v>
      </c>
      <c r="U20" s="120">
        <v>50</v>
      </c>
      <c r="V20" s="120">
        <v>-9999</v>
      </c>
      <c r="W20" s="120">
        <v>-9999</v>
      </c>
      <c r="X20" s="120">
        <v>-9999</v>
      </c>
      <c r="Y20" s="120">
        <v>-9999</v>
      </c>
      <c r="Z20" s="120">
        <v>-9999</v>
      </c>
      <c r="AA20" s="120">
        <v>68</v>
      </c>
      <c r="AB20" s="120">
        <v>14.5</v>
      </c>
      <c r="AC20" s="120">
        <v>19</v>
      </c>
      <c r="AD20" s="120">
        <v>1291</v>
      </c>
      <c r="AE20" s="120">
        <v>-9999</v>
      </c>
      <c r="AF20" s="120">
        <v>-9999</v>
      </c>
      <c r="AG20" s="120">
        <v>-9999</v>
      </c>
      <c r="AJ20" s="30" t="s">
        <v>86</v>
      </c>
      <c r="AL20" s="42">
        <f>AVERAGE(AL13:AL14)</f>
        <v>5.6999999999999993</v>
      </c>
      <c r="AM20" s="42">
        <f t="shared" ref="AM20:AU20" si="13">AVERAGE(AM13:AM14)</f>
        <v>3.25</v>
      </c>
      <c r="AN20" s="42">
        <f t="shared" si="13"/>
        <v>2.3500000000000005</v>
      </c>
      <c r="AO20" s="42">
        <f t="shared" si="13"/>
        <v>2.0499999999999998</v>
      </c>
      <c r="AP20" s="42">
        <f t="shared" si="13"/>
        <v>1.72</v>
      </c>
      <c r="AQ20" s="42">
        <f t="shared" si="13"/>
        <v>1.4666666666666668</v>
      </c>
      <c r="AR20" s="42">
        <f t="shared" si="13"/>
        <v>1.3142857142857145</v>
      </c>
      <c r="AS20" s="42">
        <f t="shared" si="13"/>
        <v>1.1749999999999998</v>
      </c>
      <c r="AT20" s="42">
        <f t="shared" si="13"/>
        <v>1.0777777777777777</v>
      </c>
      <c r="AU20" s="42">
        <f t="shared" si="13"/>
        <v>1</v>
      </c>
      <c r="BL20">
        <v>20</v>
      </c>
      <c r="BM20" s="125">
        <v>125</v>
      </c>
      <c r="BO20" s="130">
        <v>5</v>
      </c>
      <c r="BP20" s="139">
        <v>125</v>
      </c>
      <c r="BQ20" s="141" t="s">
        <v>492</v>
      </c>
    </row>
    <row r="21" spans="1:84" x14ac:dyDescent="0.25">
      <c r="A21" s="120">
        <v>20</v>
      </c>
      <c r="B21" s="120" t="b">
        <v>0</v>
      </c>
      <c r="C21" s="120">
        <v>0</v>
      </c>
      <c r="D21" s="61">
        <v>1</v>
      </c>
      <c r="E21" s="120">
        <v>1</v>
      </c>
      <c r="F21" s="120" t="s">
        <v>166</v>
      </c>
      <c r="G21" s="55">
        <v>7.5</v>
      </c>
      <c r="H21" s="120">
        <v>27</v>
      </c>
      <c r="I21" s="57">
        <v>100</v>
      </c>
      <c r="J21" s="120">
        <v>110</v>
      </c>
      <c r="K21" s="120">
        <v>11</v>
      </c>
      <c r="L21" s="120">
        <v>60</v>
      </c>
      <c r="M21" s="120">
        <v>15</v>
      </c>
      <c r="N21" s="120">
        <v>40</v>
      </c>
      <c r="O21" s="120">
        <v>2</v>
      </c>
      <c r="P21" s="120">
        <v>25</v>
      </c>
      <c r="Q21" s="120">
        <v>7.9000000953674299</v>
      </c>
      <c r="R21" s="120">
        <v>6.8000001907348597</v>
      </c>
      <c r="S21" s="148">
        <v>25.399999618530298</v>
      </c>
      <c r="T21" s="120">
        <v>70</v>
      </c>
      <c r="U21" s="120">
        <v>50</v>
      </c>
      <c r="V21" s="120">
        <v>-9999</v>
      </c>
      <c r="W21" s="120">
        <v>-9999</v>
      </c>
      <c r="X21" s="120">
        <v>-9999</v>
      </c>
      <c r="Y21" s="120">
        <v>-9999</v>
      </c>
      <c r="Z21" s="120">
        <v>-9999</v>
      </c>
      <c r="AA21" s="120">
        <v>68</v>
      </c>
      <c r="AB21" s="120">
        <v>14.5</v>
      </c>
      <c r="AC21" s="120">
        <v>20</v>
      </c>
      <c r="AD21" s="120">
        <v>1292</v>
      </c>
      <c r="AE21" s="120">
        <v>-9999</v>
      </c>
      <c r="AF21" s="120">
        <v>-9999</v>
      </c>
      <c r="AG21" s="120">
        <v>-9999</v>
      </c>
      <c r="AK21" s="46">
        <v>0</v>
      </c>
      <c r="AL21" s="46">
        <v>0.1</v>
      </c>
      <c r="AM21" s="46">
        <v>0.2</v>
      </c>
      <c r="AN21" s="46">
        <v>0.3</v>
      </c>
      <c r="AO21" s="46">
        <v>0.4</v>
      </c>
      <c r="AP21" s="46">
        <v>0.5</v>
      </c>
      <c r="AQ21" s="46">
        <v>0.6</v>
      </c>
      <c r="AR21" s="46">
        <v>0.7</v>
      </c>
      <c r="AS21" s="46">
        <v>0.8</v>
      </c>
      <c r="AT21" s="46">
        <v>0.9</v>
      </c>
      <c r="AU21" s="46">
        <v>1</v>
      </c>
      <c r="BL21">
        <v>25</v>
      </c>
      <c r="BM21" s="125">
        <v>100</v>
      </c>
      <c r="BO21" s="131">
        <v>5</v>
      </c>
      <c r="BP21" s="139">
        <v>125</v>
      </c>
      <c r="BQ21" s="143" t="s">
        <v>363</v>
      </c>
    </row>
    <row r="22" spans="1:84" x14ac:dyDescent="0.25">
      <c r="A22" s="120">
        <v>21</v>
      </c>
      <c r="B22" s="120" t="b">
        <v>0</v>
      </c>
      <c r="C22" s="120">
        <v>0</v>
      </c>
      <c r="D22" s="61">
        <v>1</v>
      </c>
      <c r="E22" s="120">
        <v>1</v>
      </c>
      <c r="F22" s="120" t="s">
        <v>166</v>
      </c>
      <c r="G22" s="55">
        <v>7.5</v>
      </c>
      <c r="H22" s="120">
        <v>25</v>
      </c>
      <c r="I22" s="57">
        <v>125</v>
      </c>
      <c r="J22" s="120">
        <v>135</v>
      </c>
      <c r="K22" s="120">
        <v>1</v>
      </c>
      <c r="L22" s="120">
        <v>50</v>
      </c>
      <c r="M22" s="120">
        <v>15</v>
      </c>
      <c r="N22" s="120">
        <v>40</v>
      </c>
      <c r="O22" s="120">
        <v>2</v>
      </c>
      <c r="P22" s="120">
        <v>5</v>
      </c>
      <c r="Q22" s="120">
        <v>7.9000000953674299</v>
      </c>
      <c r="R22" s="120">
        <v>6.8000001907348597</v>
      </c>
      <c r="S22" s="148">
        <v>27.700000762939499</v>
      </c>
      <c r="T22" s="120">
        <v>65</v>
      </c>
      <c r="U22" s="120">
        <v>45</v>
      </c>
      <c r="V22" s="120">
        <v>-9999</v>
      </c>
      <c r="W22" s="120">
        <v>-9999</v>
      </c>
      <c r="X22" s="120">
        <v>-9999</v>
      </c>
      <c r="Y22" s="120">
        <v>-9999</v>
      </c>
      <c r="Z22" s="120">
        <v>-9999</v>
      </c>
      <c r="AA22" s="120">
        <v>68</v>
      </c>
      <c r="AB22" s="120">
        <v>14.5</v>
      </c>
      <c r="AC22" s="120">
        <v>21</v>
      </c>
      <c r="AD22" s="120">
        <v>1293</v>
      </c>
      <c r="AE22" s="120">
        <v>-9999</v>
      </c>
      <c r="AF22" s="120">
        <v>-9999</v>
      </c>
      <c r="AG22" s="120">
        <v>-9999</v>
      </c>
      <c r="BL22">
        <v>25</v>
      </c>
      <c r="BM22" s="125">
        <v>110</v>
      </c>
      <c r="BO22" s="130">
        <v>10</v>
      </c>
      <c r="BP22" s="139">
        <v>100</v>
      </c>
      <c r="BQ22" s="142" t="s">
        <v>108</v>
      </c>
      <c r="BU22" t="s">
        <v>454</v>
      </c>
      <c r="BV22" s="334" t="s">
        <v>456</v>
      </c>
      <c r="BW22" s="334"/>
      <c r="BX22" s="334"/>
      <c r="BY22" s="334"/>
      <c r="BZ22" s="334"/>
      <c r="CA22" s="334"/>
      <c r="CB22" s="334"/>
      <c r="CC22" s="334"/>
      <c r="CD22" s="334"/>
      <c r="CE22" s="334"/>
      <c r="CF22" s="334"/>
    </row>
    <row r="23" spans="1:84" x14ac:dyDescent="0.25">
      <c r="A23" s="120">
        <v>22</v>
      </c>
      <c r="B23" s="120" t="b">
        <v>0</v>
      </c>
      <c r="C23" s="120">
        <v>0</v>
      </c>
      <c r="D23" s="61">
        <v>1</v>
      </c>
      <c r="E23" s="120">
        <v>1</v>
      </c>
      <c r="F23" s="120" t="s">
        <v>166</v>
      </c>
      <c r="G23" s="55">
        <v>7.5</v>
      </c>
      <c r="H23" s="120">
        <v>26</v>
      </c>
      <c r="I23" s="57">
        <v>125</v>
      </c>
      <c r="J23" s="120">
        <v>125</v>
      </c>
      <c r="K23" s="120">
        <v>2</v>
      </c>
      <c r="L23" s="120">
        <v>50</v>
      </c>
      <c r="M23" s="120">
        <v>15</v>
      </c>
      <c r="N23" s="120">
        <v>40</v>
      </c>
      <c r="O23" s="120">
        <v>2</v>
      </c>
      <c r="P23" s="120">
        <v>20</v>
      </c>
      <c r="Q23" s="120">
        <v>8.3000001907348597</v>
      </c>
      <c r="R23" s="120">
        <v>7.0999999046325701</v>
      </c>
      <c r="S23" s="148">
        <v>27.700000762939499</v>
      </c>
      <c r="T23" s="120">
        <v>65</v>
      </c>
      <c r="U23" s="120">
        <v>45</v>
      </c>
      <c r="V23" s="120">
        <v>-9999</v>
      </c>
      <c r="W23" s="120">
        <v>-9999</v>
      </c>
      <c r="X23" s="120">
        <v>-9999</v>
      </c>
      <c r="Y23" s="120">
        <v>-9999</v>
      </c>
      <c r="Z23" s="120">
        <v>-9999</v>
      </c>
      <c r="AA23" s="120">
        <v>68</v>
      </c>
      <c r="AB23" s="120">
        <v>14.5</v>
      </c>
      <c r="AC23" s="120">
        <v>22</v>
      </c>
      <c r="AD23" s="120">
        <v>1294</v>
      </c>
      <c r="AE23" s="120">
        <v>-9999</v>
      </c>
      <c r="AF23" s="120">
        <v>-9999</v>
      </c>
      <c r="AG23" s="120">
        <v>-9999</v>
      </c>
      <c r="BL23">
        <v>25</v>
      </c>
      <c r="BM23" s="125">
        <v>125</v>
      </c>
      <c r="BO23" s="130">
        <v>10</v>
      </c>
      <c r="BP23" s="139">
        <v>100</v>
      </c>
      <c r="BQ23" s="141" t="s">
        <v>491</v>
      </c>
      <c r="BV23" s="334"/>
      <c r="BW23" s="334"/>
      <c r="BX23" s="334"/>
      <c r="BY23" s="334"/>
      <c r="BZ23" s="334"/>
      <c r="CA23" s="334"/>
      <c r="CB23" s="334"/>
      <c r="CC23" s="334"/>
      <c r="CD23" s="334"/>
      <c r="CE23" s="334"/>
      <c r="CF23" s="334"/>
    </row>
    <row r="24" spans="1:84" x14ac:dyDescent="0.25">
      <c r="A24" s="120">
        <v>23</v>
      </c>
      <c r="B24" s="120" t="b">
        <v>0</v>
      </c>
      <c r="C24" s="120">
        <v>0</v>
      </c>
      <c r="D24" s="61">
        <v>1</v>
      </c>
      <c r="E24" s="120">
        <v>1</v>
      </c>
      <c r="F24" s="120" t="s">
        <v>166</v>
      </c>
      <c r="G24" s="55">
        <v>7.5</v>
      </c>
      <c r="H24" s="120">
        <v>26</v>
      </c>
      <c r="I24" s="57">
        <v>125</v>
      </c>
      <c r="J24" s="120">
        <v>125</v>
      </c>
      <c r="K24" s="120">
        <v>3</v>
      </c>
      <c r="L24" s="120">
        <v>40</v>
      </c>
      <c r="M24" s="120">
        <v>15</v>
      </c>
      <c r="N24" s="120">
        <v>40</v>
      </c>
      <c r="O24" s="120">
        <v>2</v>
      </c>
      <c r="P24" s="120">
        <v>16.666999816894499</v>
      </c>
      <c r="Q24" s="120">
        <v>8.3000001907348597</v>
      </c>
      <c r="R24" s="120">
        <v>7.0999999046325701</v>
      </c>
      <c r="S24" s="148">
        <v>27.700000762939499</v>
      </c>
      <c r="T24" s="120">
        <v>57</v>
      </c>
      <c r="U24" s="120">
        <v>45</v>
      </c>
      <c r="V24" s="120">
        <v>-9999</v>
      </c>
      <c r="W24" s="120">
        <v>-9999</v>
      </c>
      <c r="X24" s="120">
        <v>-9999</v>
      </c>
      <c r="Y24" s="120">
        <v>-9999</v>
      </c>
      <c r="Z24" s="120">
        <v>-9999</v>
      </c>
      <c r="AA24" s="120">
        <v>68</v>
      </c>
      <c r="AB24" s="120">
        <v>14.5</v>
      </c>
      <c r="AC24" s="120">
        <v>23</v>
      </c>
      <c r="AD24" s="120">
        <v>1295</v>
      </c>
      <c r="AE24" s="120">
        <v>-9999</v>
      </c>
      <c r="AF24" s="120">
        <v>-9999</v>
      </c>
      <c r="AG24" s="120">
        <v>-9999</v>
      </c>
      <c r="BL24">
        <v>30</v>
      </c>
      <c r="BM24" s="125">
        <v>100</v>
      </c>
      <c r="BO24" s="131">
        <v>10</v>
      </c>
      <c r="BP24" s="139">
        <v>100</v>
      </c>
      <c r="BQ24" s="143" t="s">
        <v>492</v>
      </c>
      <c r="BV24" s="334"/>
      <c r="BW24" s="334"/>
      <c r="BX24" s="334"/>
      <c r="BY24" s="334"/>
      <c r="BZ24" s="334"/>
      <c r="CA24" s="334"/>
      <c r="CB24" s="334"/>
      <c r="CC24" s="334"/>
      <c r="CD24" s="334"/>
      <c r="CE24" s="334"/>
      <c r="CF24" s="334"/>
    </row>
    <row r="25" spans="1:84" x14ac:dyDescent="0.25">
      <c r="A25" s="120">
        <v>24</v>
      </c>
      <c r="B25" s="120" t="b">
        <v>0</v>
      </c>
      <c r="C25" s="120">
        <v>0</v>
      </c>
      <c r="D25" s="61">
        <v>1</v>
      </c>
      <c r="E25" s="120">
        <v>1</v>
      </c>
      <c r="F25" s="120" t="s">
        <v>166</v>
      </c>
      <c r="G25" s="55">
        <v>7.5</v>
      </c>
      <c r="H25" s="120">
        <v>25</v>
      </c>
      <c r="I25" s="57">
        <v>125</v>
      </c>
      <c r="J25" s="120">
        <v>135</v>
      </c>
      <c r="K25" s="120">
        <v>4</v>
      </c>
      <c r="L25" s="120">
        <v>100</v>
      </c>
      <c r="M25" s="120">
        <v>15</v>
      </c>
      <c r="N25" s="120">
        <v>40</v>
      </c>
      <c r="O25" s="120">
        <v>2</v>
      </c>
      <c r="P25" s="120">
        <v>-9999</v>
      </c>
      <c r="Q25" s="120">
        <v>7.9000000953674299</v>
      </c>
      <c r="R25" s="120">
        <v>6.8000001907348597</v>
      </c>
      <c r="S25" s="148">
        <v>27.700000762939499</v>
      </c>
      <c r="T25" s="120">
        <v>-9999</v>
      </c>
      <c r="U25" s="120">
        <v>45</v>
      </c>
      <c r="V25" s="120">
        <v>-9999</v>
      </c>
      <c r="W25" s="120">
        <v>-9999</v>
      </c>
      <c r="X25" s="120">
        <v>-9999</v>
      </c>
      <c r="Y25" s="120">
        <v>-9999</v>
      </c>
      <c r="Z25" s="120">
        <v>-9999</v>
      </c>
      <c r="AA25" s="120">
        <v>68</v>
      </c>
      <c r="AB25" s="120">
        <v>14.5</v>
      </c>
      <c r="AC25" s="120">
        <v>24</v>
      </c>
      <c r="AD25" s="120">
        <v>1296</v>
      </c>
      <c r="AE25" s="120">
        <v>-9999</v>
      </c>
      <c r="AF25" s="120">
        <v>-9999</v>
      </c>
      <c r="AG25" s="120">
        <v>-9999</v>
      </c>
      <c r="AJ25" s="30"/>
      <c r="BL25">
        <v>30</v>
      </c>
      <c r="BM25" s="125">
        <v>115</v>
      </c>
      <c r="BO25" s="130">
        <v>10</v>
      </c>
      <c r="BP25" s="139">
        <v>100</v>
      </c>
      <c r="BQ25" s="141" t="s">
        <v>363</v>
      </c>
    </row>
    <row r="26" spans="1:84" x14ac:dyDescent="0.25">
      <c r="A26" s="120">
        <v>25</v>
      </c>
      <c r="B26" s="120" t="b">
        <v>0</v>
      </c>
      <c r="C26" s="120">
        <v>0</v>
      </c>
      <c r="D26" s="61">
        <v>1</v>
      </c>
      <c r="E26" s="120">
        <v>1</v>
      </c>
      <c r="F26" s="120" t="s">
        <v>166</v>
      </c>
      <c r="G26" s="55">
        <v>7.5</v>
      </c>
      <c r="H26" s="120">
        <v>25</v>
      </c>
      <c r="I26" s="57">
        <v>125</v>
      </c>
      <c r="J26" s="120">
        <v>135</v>
      </c>
      <c r="K26" s="120">
        <v>11</v>
      </c>
      <c r="L26" s="120">
        <v>60</v>
      </c>
      <c r="M26" s="120">
        <v>15</v>
      </c>
      <c r="N26" s="120">
        <v>40</v>
      </c>
      <c r="O26" s="120">
        <v>2</v>
      </c>
      <c r="P26" s="120">
        <v>25</v>
      </c>
      <c r="Q26" s="120">
        <v>7.9000000953674299</v>
      </c>
      <c r="R26" s="120">
        <v>6.8000001907348597</v>
      </c>
      <c r="S26" s="148">
        <v>27.700000762939499</v>
      </c>
      <c r="T26" s="120">
        <v>70</v>
      </c>
      <c r="U26" s="120">
        <v>45</v>
      </c>
      <c r="V26" s="120">
        <v>-9999</v>
      </c>
      <c r="W26" s="120">
        <v>-9999</v>
      </c>
      <c r="X26" s="120">
        <v>-9999</v>
      </c>
      <c r="Y26" s="120">
        <v>-9999</v>
      </c>
      <c r="Z26" s="120">
        <v>-9999</v>
      </c>
      <c r="AA26" s="120">
        <v>68</v>
      </c>
      <c r="AB26" s="120">
        <v>14.5</v>
      </c>
      <c r="AC26" s="120">
        <v>25</v>
      </c>
      <c r="AD26" s="120">
        <v>1297</v>
      </c>
      <c r="AE26" s="120">
        <v>-9999</v>
      </c>
      <c r="AF26" s="120">
        <v>-9999</v>
      </c>
      <c r="AG26" s="120">
        <v>-9999</v>
      </c>
      <c r="AJ26" s="30"/>
      <c r="BL26">
        <v>30</v>
      </c>
      <c r="BM26" s="125">
        <v>125</v>
      </c>
      <c r="BO26" s="130">
        <v>10</v>
      </c>
      <c r="BP26" s="139">
        <v>110</v>
      </c>
      <c r="BQ26" s="142" t="s">
        <v>108</v>
      </c>
      <c r="BW26">
        <v>2</v>
      </c>
      <c r="BX26">
        <v>3</v>
      </c>
      <c r="BY26">
        <v>4</v>
      </c>
      <c r="BZ26">
        <v>5</v>
      </c>
      <c r="CA26">
        <v>6</v>
      </c>
      <c r="CB26">
        <v>7</v>
      </c>
      <c r="CC26">
        <v>8</v>
      </c>
      <c r="CD26" s="125">
        <v>9</v>
      </c>
      <c r="CE26">
        <v>10</v>
      </c>
    </row>
    <row r="27" spans="1:84" x14ac:dyDescent="0.25">
      <c r="A27" s="120">
        <v>26</v>
      </c>
      <c r="B27" s="120" t="b">
        <v>0</v>
      </c>
      <c r="C27" s="120">
        <v>0</v>
      </c>
      <c r="D27" s="61">
        <v>1</v>
      </c>
      <c r="E27" s="120">
        <v>1</v>
      </c>
      <c r="F27" s="120" t="s">
        <v>166</v>
      </c>
      <c r="G27" s="55">
        <v>7.5</v>
      </c>
      <c r="H27" s="120">
        <v>20</v>
      </c>
      <c r="I27" s="57">
        <v>175</v>
      </c>
      <c r="J27" s="120">
        <v>185</v>
      </c>
      <c r="K27" s="120">
        <v>1</v>
      </c>
      <c r="L27" s="120">
        <v>50</v>
      </c>
      <c r="M27" s="120">
        <v>15</v>
      </c>
      <c r="N27" s="120">
        <v>40</v>
      </c>
      <c r="O27" s="120">
        <v>2</v>
      </c>
      <c r="P27" s="120">
        <v>5</v>
      </c>
      <c r="Q27" s="120">
        <v>7.9000000953674299</v>
      </c>
      <c r="R27" s="120">
        <v>6.8000001907348597</v>
      </c>
      <c r="S27" s="148">
        <v>34.799999237060497</v>
      </c>
      <c r="T27" s="120">
        <v>65</v>
      </c>
      <c r="U27" s="120">
        <v>36</v>
      </c>
      <c r="V27" s="120">
        <v>-9999</v>
      </c>
      <c r="W27" s="120">
        <v>-9999</v>
      </c>
      <c r="X27" s="120">
        <v>-9999</v>
      </c>
      <c r="Y27" s="120">
        <v>-9999</v>
      </c>
      <c r="Z27" s="120">
        <v>-9999</v>
      </c>
      <c r="AA27" s="120">
        <v>68</v>
      </c>
      <c r="AB27" s="120">
        <v>14.5</v>
      </c>
      <c r="AC27" s="120">
        <v>26</v>
      </c>
      <c r="AD27" s="120">
        <v>1298</v>
      </c>
      <c r="AE27" s="120">
        <v>-9999</v>
      </c>
      <c r="AF27" s="120">
        <v>-9999</v>
      </c>
      <c r="AG27" s="120">
        <v>-9999</v>
      </c>
      <c r="AY27" s="125" t="s">
        <v>123</v>
      </c>
      <c r="AZ27" s="125" t="s">
        <v>124</v>
      </c>
      <c r="BL27">
        <v>40</v>
      </c>
      <c r="BM27" s="125">
        <v>100</v>
      </c>
      <c r="BO27" s="131">
        <v>10</v>
      </c>
      <c r="BP27" s="139">
        <v>110</v>
      </c>
      <c r="BQ27" s="143" t="s">
        <v>492</v>
      </c>
      <c r="BU27" t="s">
        <v>453</v>
      </c>
      <c r="BW27" t="e">
        <f>INDEX(tbl_three3[Type],MATCH(Advanced!D$30&amp;Advanced!D$31,tbl_three3[HP]&amp;tbl_three3[PSI],0),1):INDEX(tbl_three3[Type],(MATCH(Advanced!D$30&amp;Advanced!D$31,tbl_three3[HP]&amp;tbl_three3[PSI],0)-1+COUNTIFS(tbl_three3[HP],Advanced!D$30,tbl_three3[PSI],Advanced!D$31)),1)</f>
        <v>#N/A</v>
      </c>
      <c r="BX27" s="129" t="e">
        <f>INDEX(tbl_three3[Type],MATCH(Advanced!$E$30&amp;Advanced!$E$31,tbl_three3[HP]&amp;tbl_three3[PSI],0),1):INDEX(tbl_three3[Type],(MATCH(Advanced!$E$30&amp;Advanced!$E$31,tbl_three3[HP]&amp;tbl_three3[PSI],0)-1+COUNTIFS(tbl_three3[HP],Advanced!$E$30,tbl_three3[PSI],Advanced!$E$31)),1)</f>
        <v>#N/A</v>
      </c>
      <c r="BY27" s="129" t="e">
        <f>INDEX(tbl_three3[Type],MATCH(Advanced!$F$30&amp;Advanced!$F$31,tbl_three3[HP]&amp;tbl_three3[PSI],0),1):INDEX(tbl_three3[Type],(MATCH(Advanced!$F$30&amp;Advanced!$F$31,tbl_three3[HP]&amp;tbl_three3[PSI],0)-1+COUNTIFS(tbl_three3[HP],Advanced!$F$30,tbl_three3[PSI],Advanced!$F$31)),1)</f>
        <v>#N/A</v>
      </c>
      <c r="BZ27" s="129" t="e">
        <f>INDEX(tbl_three3[Type],MATCH(Advanced!$G$30&amp;Advanced!$G$31,tbl_three3[HP]&amp;tbl_three3[PSI],0),1):INDEX(tbl_three3[Type],(MATCH(Advanced!$G$30&amp;Advanced!$G$31,tbl_three3[HP]&amp;tbl_three3[PSI],0)-1+COUNTIFS(tbl_three3[HP],Advanced!$G$30,tbl_three3[PSI],Advanced!$G$31)),1)</f>
        <v>#N/A</v>
      </c>
      <c r="CA27" s="129" t="e">
        <f>INDEX(tbl_three3[Type],MATCH(Advanced!$H$30&amp;Advanced!$H$31,tbl_three3[HP]&amp;tbl_three3[PSI],0),1):INDEX(tbl_three3[Type],(MATCH(Advanced!$H$30&amp;Advanced!$H$31,tbl_three3[HP]&amp;tbl_three3[PSI],0)-1+COUNTIFS(tbl_three3[HP],Advanced!$H$30,tbl_three3[PSI],Advanced!$H$31)),1)</f>
        <v>#N/A</v>
      </c>
      <c r="CB27" s="129" t="e">
        <f>INDEX(tbl_three3[Type],MATCH(Advanced!$I$30&amp;Advanced!$I$31,tbl_three3[HP]&amp;tbl_three3[PSI],0),1):INDEX(tbl_three3[Type],(MATCH(Advanced!$I$30&amp;Advanced!$I$31,tbl_three3[HP]&amp;tbl_three3[PSI],0)-1+COUNTIFS(tbl_three3[HP],Advanced!$I$30,tbl_three3[PSI],Advanced!$I$31)),1)</f>
        <v>#N/A</v>
      </c>
      <c r="CC27" s="129" t="e">
        <f>INDEX(tbl_three3[Type],MATCH(Advanced!$J$30&amp;Advanced!$J$31,tbl_three3[HP]&amp;tbl_three3[PSI],0),1):INDEX(tbl_three3[Type],(MATCH(Advanced!$J$30&amp;Advanced!$J$31,tbl_three3[HP]&amp;tbl_three3[PSI],0)-1+COUNTIFS(tbl_three3[HP],Advanced!$J$30,tbl_three3[PSI],Advanced!$J$31)),1)</f>
        <v>#N/A</v>
      </c>
      <c r="CD27" s="129" t="e">
        <f>INDEX(tbl_three3[Type],MATCH(Advanced!$K$30&amp;Advanced!$K$31,tbl_three3[HP]&amp;tbl_three3[PSI],0),1):INDEX(tbl_three3[Type],(MATCH(Advanced!$K$30&amp;Advanced!$K$31,tbl_three3[HP]&amp;tbl_three3[PSI],0)-1+COUNTIFS(tbl_three3[HP],Advanced!$K$30,tbl_three3[PSI],Advanced!$K$31)),1)</f>
        <v>#N/A</v>
      </c>
      <c r="CE27" s="129" t="e">
        <f>INDEX(tbl_three3[Type],MATCH(Advanced!$L$30&amp;Advanced!$L$31,tbl_three3[HP]&amp;tbl_three3[PSI],0),1):INDEX(tbl_three3[Type],(MATCH(Advanced!$L$30&amp;Advanced!$L$31,tbl_three3[HP]&amp;tbl_three3[PSI],0)-1+COUNTIFS(tbl_three3[HP],Advanced!$L$30,tbl_three3[PSI],Advanced!$L$31)),1)</f>
        <v>#N/A</v>
      </c>
      <c r="CF27" s="129"/>
    </row>
    <row r="28" spans="1:84" x14ac:dyDescent="0.25">
      <c r="A28" s="120">
        <v>27</v>
      </c>
      <c r="B28" s="120" t="b">
        <v>0</v>
      </c>
      <c r="C28" s="120">
        <v>0</v>
      </c>
      <c r="D28" s="61">
        <v>1</v>
      </c>
      <c r="E28" s="120">
        <v>1</v>
      </c>
      <c r="F28" s="120" t="s">
        <v>166</v>
      </c>
      <c r="G28" s="55">
        <v>7.5</v>
      </c>
      <c r="H28" s="120">
        <v>20</v>
      </c>
      <c r="I28" s="57">
        <v>175</v>
      </c>
      <c r="J28" s="120">
        <v>175</v>
      </c>
      <c r="K28" s="120">
        <v>2</v>
      </c>
      <c r="L28" s="120">
        <v>50</v>
      </c>
      <c r="M28" s="120">
        <v>15</v>
      </c>
      <c r="N28" s="120">
        <v>40</v>
      </c>
      <c r="O28" s="120">
        <v>2</v>
      </c>
      <c r="P28" s="120">
        <v>20</v>
      </c>
      <c r="Q28" s="120">
        <v>8.3000001907348597</v>
      </c>
      <c r="R28" s="120">
        <v>7.0999999046325701</v>
      </c>
      <c r="S28" s="148">
        <v>34.799999237060497</v>
      </c>
      <c r="T28" s="120">
        <v>65</v>
      </c>
      <c r="U28" s="120">
        <v>36</v>
      </c>
      <c r="V28" s="120">
        <v>-9999</v>
      </c>
      <c r="W28" s="120">
        <v>-9999</v>
      </c>
      <c r="X28" s="120">
        <v>-9999</v>
      </c>
      <c r="Y28" s="120">
        <v>-9999</v>
      </c>
      <c r="Z28" s="120">
        <v>-9999</v>
      </c>
      <c r="AA28" s="120">
        <v>68</v>
      </c>
      <c r="AB28" s="120">
        <v>14.5</v>
      </c>
      <c r="AC28" s="120">
        <v>27</v>
      </c>
      <c r="AD28" s="120">
        <v>1299</v>
      </c>
      <c r="AE28" s="120">
        <v>-9999</v>
      </c>
      <c r="AF28" s="120">
        <v>-9999</v>
      </c>
      <c r="AG28" s="120">
        <v>-9999</v>
      </c>
      <c r="AY28" s="125">
        <v>1</v>
      </c>
      <c r="AZ28" s="125" t="s">
        <v>125</v>
      </c>
      <c r="BE28" s="125" t="s">
        <v>491</v>
      </c>
      <c r="BH28">
        <v>1</v>
      </c>
      <c r="BL28">
        <v>40</v>
      </c>
      <c r="BM28" s="125">
        <v>110</v>
      </c>
      <c r="BO28" s="130">
        <v>10</v>
      </c>
      <c r="BP28" s="139">
        <v>110</v>
      </c>
      <c r="BQ28" s="141" t="s">
        <v>363</v>
      </c>
      <c r="BY28" s="129" t="e">
        <f>INDEX(Compressors!$BQ$12:$BQ$37,MATCH(Advanced!$F$30&amp;Advanced!$F$31,Compressors!$BO$12:$BO$173&amp;Compressors!$BP$12:$BP$173,0),1):INDEX(Compressors!$BQ$12:$BQ$37,(MATCH(Advanced!$F$30&amp;Advanced!$F$31,Compressors!$BO$12:$BO$173&amp;Compressors!$BP$12:$BP$173,0)-1+COUNTIFS(Compressors!$BO$12:$BO$173,Advanced!$F$30,Compressors!$BP$12:$BP$173,Advanced!$F$31)),1)</f>
        <v>#N/A</v>
      </c>
      <c r="BZ28" s="129" t="e">
        <f>INDEX(Compressors!$BQ$12:$BQ$37,MATCH(Advanced!$G$30&amp;Advanced!$G$31,Compressors!$BO$12:$BO$173&amp;Compressors!$BP$12:$BP$173,0),1):INDEX(Compressors!$BQ$12:$BQ$37,(MATCH(Advanced!$G$30&amp;Advanced!$G$31,Compressors!$BO$12:$BO$173&amp;Compressors!$BP$12:$BP$173,0)-1+COUNTIFS(Compressors!$BO$12:$BO$173,Advanced!$G$30,Compressors!$BP$12:$BP$173,Advanced!$G$31)),1)</f>
        <v>#N/A</v>
      </c>
      <c r="CA28" s="129" t="e">
        <f>INDEX(Compressors!$BQ$12:$BQ$37,MATCH(Advanced!$H$30&amp;Advanced!$H$31,Compressors!$BO$12:$BO$173&amp;Compressors!$BP$12:$BP$173,0),1):INDEX(Compressors!$BQ$12:$BQ$37,(MATCH(Advanced!$H$30&amp;Advanced!$H$31,Compressors!$BO$12:$BO$173&amp;Compressors!$BP$12:$BP$173,0)-1+COUNTIFS(Compressors!$BO$12:$BO$173,Advanced!$H$30,Compressors!$BP$12:$BP$173,Advanced!$H$31)),1)</f>
        <v>#N/A</v>
      </c>
      <c r="CB28" s="129" t="e">
        <f>INDEX(Compressors!$BQ$12:$BQ$37,MATCH(Advanced!$I$30&amp;Advanced!$I$31,Compressors!$BO$12:$BO$173&amp;Compressors!$BP$12:$BP$173,0),1):INDEX(Compressors!$BQ$12:$BQ$37,(MATCH(Advanced!$I$30&amp;Advanced!$I$31,Compressors!$BO$12:$BO$173&amp;Compressors!$BP$12:$BP$173,0)-1+COUNTIFS(Compressors!$BO$12:$BO$173,Advanced!$I$30,Compressors!$BP$12:$BP$173,Advanced!$I$31)),1)</f>
        <v>#N/A</v>
      </c>
      <c r="CC28" s="129" t="e">
        <f>INDEX(Compressors!$BQ$12:$BQ$37,MATCH(Advanced!$J$30&amp;Advanced!$J$31,Compressors!$BO$12:$BO$173&amp;Compressors!$BP$12:$BP$173,0),1):INDEX(Compressors!$BQ$12:$BQ$37,(MATCH(Advanced!$J$30&amp;Advanced!$J$31,Compressors!$BO$12:$BO$173&amp;Compressors!$BP$12:$BP$173,0)-1+COUNTIFS(Compressors!$BO$12:$BO$173,Advanced!$J$30,Compressors!$BP$12:$BP$173,Advanced!$J$31)),1)</f>
        <v>#N/A</v>
      </c>
      <c r="CD28" s="129" t="e">
        <f>INDEX(Compressors!$BQ$12:$BQ$37,MATCH(Advanced!$K$30&amp;Advanced!$K$31,Compressors!$BO$12:$BO$173&amp;Compressors!$BP$12:$BP$173,0),1):INDEX(Compressors!$BQ$12:$BQ$37,(MATCH(Advanced!$K$30&amp;Advanced!$K$31,Compressors!$BO$12:$BO$173&amp;Compressors!$BP$12:$BP$173,0)-1+COUNTIFS(Compressors!$BO$12:$BO$173,Advanced!$K$30,Compressors!$BP$12:$BP$173,Advanced!$K$31)),1)</f>
        <v>#N/A</v>
      </c>
      <c r="CE28" s="129" t="e">
        <f>INDEX(Compressors!$BQ$12:$BQ$37,MATCH(Advanced!$L$30&amp;Advanced!$L$31,Compressors!$BO$12:$BO$173&amp;Compressors!$BP$12:$BP$173,0),1):INDEX(Compressors!$BQ$12:$BQ$37,(MATCH(Advanced!$L$30&amp;Advanced!$L$31,Compressors!$BO$12:$BO$173&amp;Compressors!$BP$12:$BP$173,0)-1+COUNTIFS(Compressors!$BO$12:$BO$173,Advanced!$L$30,Compressors!$BP$12:$BP$173,Advanced!$L$31)),1)</f>
        <v>#N/A</v>
      </c>
    </row>
    <row r="29" spans="1:84" x14ac:dyDescent="0.25">
      <c r="A29" s="120">
        <v>28</v>
      </c>
      <c r="B29" s="120" t="b">
        <v>0</v>
      </c>
      <c r="C29" s="120">
        <v>0</v>
      </c>
      <c r="D29" s="61">
        <v>1</v>
      </c>
      <c r="E29" s="120">
        <v>1</v>
      </c>
      <c r="F29" s="120" t="s">
        <v>166</v>
      </c>
      <c r="G29" s="55">
        <v>7.5</v>
      </c>
      <c r="H29" s="120">
        <v>20</v>
      </c>
      <c r="I29" s="57">
        <v>175</v>
      </c>
      <c r="J29" s="120">
        <v>175</v>
      </c>
      <c r="K29" s="120">
        <v>3</v>
      </c>
      <c r="L29" s="120">
        <v>40</v>
      </c>
      <c r="M29" s="120">
        <v>15</v>
      </c>
      <c r="N29" s="120">
        <v>40</v>
      </c>
      <c r="O29" s="120">
        <v>2</v>
      </c>
      <c r="P29" s="120">
        <v>16.666999816894499</v>
      </c>
      <c r="Q29" s="120">
        <v>8.3000001907348597</v>
      </c>
      <c r="R29" s="120">
        <v>7.0999999046325701</v>
      </c>
      <c r="S29" s="148">
        <v>34.799999237060497</v>
      </c>
      <c r="T29" s="120">
        <v>57</v>
      </c>
      <c r="U29" s="120">
        <v>36</v>
      </c>
      <c r="V29" s="120">
        <v>-9999</v>
      </c>
      <c r="W29" s="120">
        <v>-9999</v>
      </c>
      <c r="X29" s="120">
        <v>-9999</v>
      </c>
      <c r="Y29" s="120">
        <v>-9999</v>
      </c>
      <c r="Z29" s="120">
        <v>-9999</v>
      </c>
      <c r="AA29" s="120">
        <v>68</v>
      </c>
      <c r="AB29" s="120">
        <v>14.5</v>
      </c>
      <c r="AC29" s="120">
        <v>28</v>
      </c>
      <c r="AD29" s="120">
        <v>1300</v>
      </c>
      <c r="AE29" s="120">
        <v>-9999</v>
      </c>
      <c r="AF29" s="120">
        <v>-9999</v>
      </c>
      <c r="AG29" s="120">
        <v>-9999</v>
      </c>
      <c r="AY29" s="125">
        <v>2</v>
      </c>
      <c r="AZ29" s="125" t="s">
        <v>126</v>
      </c>
      <c r="BE29" s="125" t="s">
        <v>362</v>
      </c>
      <c r="BH29">
        <v>2</v>
      </c>
      <c r="BL29">
        <v>40</v>
      </c>
      <c r="BM29" s="125">
        <v>125</v>
      </c>
      <c r="BO29" s="130">
        <v>10</v>
      </c>
      <c r="BP29" s="139">
        <v>125</v>
      </c>
      <c r="BQ29" s="142" t="s">
        <v>108</v>
      </c>
      <c r="BU29" t="s">
        <v>454</v>
      </c>
      <c r="BW29" t="e">
        <f t="array" ref="BW29">INDEX(tbl_secondary2[PSI],MATCH(Advanced!$D$30,tbl_secondary2[HP],0),1):INDEX(tbl_secondary2[PSI],MATCH(Advanced!$D$30,tbl_secondary2[HP],1),1)</f>
        <v>#N/A</v>
      </c>
      <c r="BX29" s="129" t="e">
        <f>INDEX(tbl_secondary2[PSI],MATCH(Advanced!$E$30,tbl_secondary2[HP],0),1):INDEX(tbl_secondary2[PSI],MATCH(Advanced!$E$30,tbl_secondary2[HP],1),1)</f>
        <v>#N/A</v>
      </c>
      <c r="BY29" s="129" t="e">
        <f>INDEX(tbl_secondary2[PSI],MATCH(Advanced!$F$30,tbl_secondary2[HP],0),1):INDEX(tbl_secondary2[PSI],MATCH(Advanced!$F$30,tbl_secondary2[HP],1),1)</f>
        <v>#N/A</v>
      </c>
      <c r="BZ29" s="129" t="e">
        <f>INDEX(tbl_secondary2[PSI],MATCH(Advanced!$G$30,tbl_secondary2[HP],0),1):INDEX(tbl_secondary2[PSI],MATCH(Advanced!$G$30,tbl_secondary2[HP],1),1)</f>
        <v>#N/A</v>
      </c>
      <c r="CA29" s="129" t="e">
        <f>INDEX(tbl_secondary2[PSI],MATCH(Advanced!$H$30,tbl_secondary2[HP],0),1):INDEX(tbl_secondary2[PSI],MATCH(Advanced!$H$30,tbl_secondary2[HP],1),1)</f>
        <v>#N/A</v>
      </c>
      <c r="CB29" s="129" t="e">
        <f>INDEX(tbl_secondary2[PSI],MATCH(Advanced!$I$30,tbl_secondary2[HP],0),1):INDEX(tbl_secondary2[PSI],MATCH(Advanced!$I$30,tbl_secondary2[HP],1),1)</f>
        <v>#N/A</v>
      </c>
      <c r="CC29" s="129" t="e">
        <f>INDEX(tbl_secondary2[PSI],MATCH(Advanced!$J$30,tbl_secondary2[HP],0),1):INDEX(tbl_secondary2[PSI],MATCH(Advanced!$J$30,tbl_secondary2[HP],1),1)</f>
        <v>#N/A</v>
      </c>
      <c r="CD29" s="129" t="e">
        <f>INDEX(tbl_secondary2[PSI],MATCH(Advanced!$K$30,tbl_secondary2[HP],0),1):INDEX(tbl_secondary2[PSI],MATCH(Advanced!$K$30,tbl_secondary2[HP],1),1)</f>
        <v>#N/A</v>
      </c>
      <c r="CE29" s="129" t="e">
        <f>INDEX(tbl_secondary2[PSI],MATCH(Advanced!$L$30,tbl_secondary2[HP],0),1):INDEX(tbl_secondary2[PSI],MATCH(Advanced!$L$30,tbl_secondary2[HP],1),1)</f>
        <v>#N/A</v>
      </c>
    </row>
    <row r="30" spans="1:84" x14ac:dyDescent="0.25">
      <c r="A30" s="120">
        <v>29</v>
      </c>
      <c r="B30" s="120" t="b">
        <v>0</v>
      </c>
      <c r="C30" s="120">
        <v>0</v>
      </c>
      <c r="D30" s="61">
        <v>1</v>
      </c>
      <c r="E30" s="120">
        <v>1</v>
      </c>
      <c r="F30" s="120" t="s">
        <v>166</v>
      </c>
      <c r="G30" s="55">
        <v>7.5</v>
      </c>
      <c r="H30" s="120">
        <v>20</v>
      </c>
      <c r="I30" s="57">
        <v>175</v>
      </c>
      <c r="J30" s="120">
        <v>185</v>
      </c>
      <c r="K30" s="120">
        <v>4</v>
      </c>
      <c r="L30" s="120">
        <v>100</v>
      </c>
      <c r="M30" s="120">
        <v>15</v>
      </c>
      <c r="N30" s="120">
        <v>40</v>
      </c>
      <c r="O30" s="120">
        <v>2</v>
      </c>
      <c r="P30" s="120">
        <v>-9999</v>
      </c>
      <c r="Q30" s="120">
        <v>7.9000000953674299</v>
      </c>
      <c r="R30" s="120">
        <v>6.8000001907348597</v>
      </c>
      <c r="S30" s="148">
        <v>34.799999237060497</v>
      </c>
      <c r="T30" s="120">
        <v>-9999</v>
      </c>
      <c r="U30" s="120">
        <v>36</v>
      </c>
      <c r="V30" s="120">
        <v>-9999</v>
      </c>
      <c r="W30" s="120">
        <v>-9999</v>
      </c>
      <c r="X30" s="120">
        <v>-9999</v>
      </c>
      <c r="Y30" s="120">
        <v>-9999</v>
      </c>
      <c r="Z30" s="120">
        <v>-9999</v>
      </c>
      <c r="AA30" s="120">
        <v>68</v>
      </c>
      <c r="AB30" s="120">
        <v>14.5</v>
      </c>
      <c r="AC30" s="120">
        <v>29</v>
      </c>
      <c r="AD30" s="120">
        <v>1301</v>
      </c>
      <c r="AE30" s="120">
        <v>-9999</v>
      </c>
      <c r="AF30" s="120">
        <v>-9999</v>
      </c>
      <c r="AG30" s="120">
        <v>-9999</v>
      </c>
      <c r="AY30" s="125">
        <v>3</v>
      </c>
      <c r="AZ30" s="125" t="s">
        <v>127</v>
      </c>
      <c r="BE30" s="125" t="s">
        <v>492</v>
      </c>
      <c r="BH30">
        <v>4</v>
      </c>
      <c r="BL30">
        <v>50</v>
      </c>
      <c r="BM30" s="125">
        <v>100</v>
      </c>
      <c r="BO30" s="131">
        <v>10</v>
      </c>
      <c r="BP30" s="139">
        <v>125</v>
      </c>
      <c r="BQ30" s="143" t="s">
        <v>491</v>
      </c>
    </row>
    <row r="31" spans="1:84" x14ac:dyDescent="0.25">
      <c r="A31" s="120">
        <v>30</v>
      </c>
      <c r="B31" s="120" t="b">
        <v>0</v>
      </c>
      <c r="C31" s="120">
        <v>0</v>
      </c>
      <c r="D31" s="61">
        <v>1</v>
      </c>
      <c r="E31" s="120">
        <v>1</v>
      </c>
      <c r="F31" s="120" t="s">
        <v>166</v>
      </c>
      <c r="G31" s="55">
        <v>7.5</v>
      </c>
      <c r="H31" s="120">
        <v>20</v>
      </c>
      <c r="I31" s="57">
        <v>175</v>
      </c>
      <c r="J31" s="120">
        <v>185</v>
      </c>
      <c r="K31" s="120">
        <v>11</v>
      </c>
      <c r="L31" s="120">
        <v>60</v>
      </c>
      <c r="M31" s="120">
        <v>15</v>
      </c>
      <c r="N31" s="120">
        <v>40</v>
      </c>
      <c r="O31" s="120">
        <v>2</v>
      </c>
      <c r="P31" s="120">
        <v>25</v>
      </c>
      <c r="Q31" s="120">
        <v>7.9000000953674299</v>
      </c>
      <c r="R31" s="120">
        <v>6.8000001907348597</v>
      </c>
      <c r="S31" s="148">
        <v>34.799999237060497</v>
      </c>
      <c r="T31" s="120">
        <v>70</v>
      </c>
      <c r="U31" s="120">
        <v>36</v>
      </c>
      <c r="V31" s="120">
        <v>-9999</v>
      </c>
      <c r="W31" s="120">
        <v>-9999</v>
      </c>
      <c r="X31" s="120">
        <v>-9999</v>
      </c>
      <c r="Y31" s="120">
        <v>-9999</v>
      </c>
      <c r="Z31" s="120">
        <v>-9999</v>
      </c>
      <c r="AA31" s="120">
        <v>68</v>
      </c>
      <c r="AB31" s="120">
        <v>14.5</v>
      </c>
      <c r="AC31" s="120">
        <v>30</v>
      </c>
      <c r="AD31" s="120">
        <v>1302</v>
      </c>
      <c r="AE31" s="120">
        <v>-9999</v>
      </c>
      <c r="AF31" s="120">
        <v>-9999</v>
      </c>
      <c r="AG31" s="120">
        <v>-9999</v>
      </c>
      <c r="AY31" s="125">
        <v>4</v>
      </c>
      <c r="AZ31" s="125" t="s">
        <v>128</v>
      </c>
      <c r="BE31" s="125" t="s">
        <v>363</v>
      </c>
      <c r="BH31">
        <v>5</v>
      </c>
      <c r="BL31">
        <v>50</v>
      </c>
      <c r="BM31" s="125">
        <v>110</v>
      </c>
      <c r="BO31" s="130">
        <v>10</v>
      </c>
      <c r="BP31" s="139">
        <v>125</v>
      </c>
      <c r="BQ31" s="141" t="s">
        <v>492</v>
      </c>
    </row>
    <row r="32" spans="1:84" x14ac:dyDescent="0.25">
      <c r="A32" s="120">
        <v>31</v>
      </c>
      <c r="B32" s="120" t="b">
        <v>0</v>
      </c>
      <c r="C32" s="120">
        <v>0</v>
      </c>
      <c r="D32" s="61">
        <v>1</v>
      </c>
      <c r="E32" s="120">
        <v>1</v>
      </c>
      <c r="F32" s="120" t="s">
        <v>167</v>
      </c>
      <c r="G32" s="55">
        <v>10</v>
      </c>
      <c r="H32" s="120">
        <v>39</v>
      </c>
      <c r="I32" s="57">
        <v>100</v>
      </c>
      <c r="J32" s="120">
        <v>110</v>
      </c>
      <c r="K32" s="120">
        <v>1</v>
      </c>
      <c r="L32" s="120">
        <v>50</v>
      </c>
      <c r="M32" s="120">
        <v>15</v>
      </c>
      <c r="N32" s="120">
        <v>40</v>
      </c>
      <c r="O32" s="120">
        <v>2</v>
      </c>
      <c r="P32" s="120">
        <v>5</v>
      </c>
      <c r="Q32" s="120">
        <v>10.5</v>
      </c>
      <c r="R32" s="120">
        <v>9</v>
      </c>
      <c r="S32" s="148">
        <v>22.899999618530298</v>
      </c>
      <c r="T32" s="120">
        <v>65</v>
      </c>
      <c r="U32" s="120">
        <v>50</v>
      </c>
      <c r="V32" s="120">
        <v>-9999</v>
      </c>
      <c r="W32" s="120">
        <v>-9999</v>
      </c>
      <c r="X32" s="120">
        <v>-9999</v>
      </c>
      <c r="Y32" s="120">
        <v>-9999</v>
      </c>
      <c r="Z32" s="120">
        <v>-9999</v>
      </c>
      <c r="AA32" s="120">
        <v>68</v>
      </c>
      <c r="AB32" s="120">
        <v>14.5</v>
      </c>
      <c r="AC32" s="120">
        <v>31</v>
      </c>
      <c r="AD32" s="120">
        <v>1303</v>
      </c>
      <c r="AE32" s="120">
        <v>-9999</v>
      </c>
      <c r="AF32" s="120">
        <v>-9999</v>
      </c>
      <c r="AG32" s="120">
        <v>-9999</v>
      </c>
      <c r="AT32" s="333" t="s">
        <v>371</v>
      </c>
      <c r="AU32" s="333"/>
      <c r="AV32" s="333"/>
      <c r="AW32" s="333"/>
      <c r="AY32" s="125">
        <v>5</v>
      </c>
      <c r="AZ32" s="125" t="s">
        <v>129</v>
      </c>
      <c r="BE32" s="125" t="s">
        <v>361</v>
      </c>
      <c r="BH32">
        <v>6</v>
      </c>
      <c r="BL32">
        <v>50</v>
      </c>
      <c r="BM32" s="125">
        <v>115</v>
      </c>
      <c r="BO32" s="131">
        <v>10</v>
      </c>
      <c r="BP32" s="139">
        <v>125</v>
      </c>
      <c r="BQ32" s="143" t="s">
        <v>363</v>
      </c>
    </row>
    <row r="33" spans="1:78" x14ac:dyDescent="0.25">
      <c r="A33" s="120">
        <v>32</v>
      </c>
      <c r="B33" s="120" t="b">
        <v>0</v>
      </c>
      <c r="C33" s="120">
        <v>0</v>
      </c>
      <c r="D33" s="61">
        <v>1</v>
      </c>
      <c r="E33" s="120">
        <v>1</v>
      </c>
      <c r="F33" s="120" t="s">
        <v>167</v>
      </c>
      <c r="G33" s="55">
        <v>10</v>
      </c>
      <c r="H33" s="120">
        <v>41</v>
      </c>
      <c r="I33" s="57">
        <v>100</v>
      </c>
      <c r="J33" s="120">
        <v>100</v>
      </c>
      <c r="K33" s="120">
        <v>2</v>
      </c>
      <c r="L33" s="120">
        <v>50</v>
      </c>
      <c r="M33" s="120">
        <v>15</v>
      </c>
      <c r="N33" s="120">
        <v>40</v>
      </c>
      <c r="O33" s="120">
        <v>2</v>
      </c>
      <c r="P33" s="120">
        <v>20</v>
      </c>
      <c r="Q33" s="120">
        <v>11</v>
      </c>
      <c r="R33" s="120">
        <v>9.3999996185302699</v>
      </c>
      <c r="S33" s="148">
        <v>22.899999618530298</v>
      </c>
      <c r="T33" s="120">
        <v>65</v>
      </c>
      <c r="U33" s="120">
        <v>50</v>
      </c>
      <c r="V33" s="120">
        <v>-9999</v>
      </c>
      <c r="W33" s="120">
        <v>-9999</v>
      </c>
      <c r="X33" s="120">
        <v>-9999</v>
      </c>
      <c r="Y33" s="120">
        <v>-9999</v>
      </c>
      <c r="Z33" s="120">
        <v>-9999</v>
      </c>
      <c r="AA33" s="120">
        <v>68</v>
      </c>
      <c r="AB33" s="120">
        <v>14.5</v>
      </c>
      <c r="AC33" s="120">
        <v>32</v>
      </c>
      <c r="AD33" s="120">
        <v>1304</v>
      </c>
      <c r="AE33" s="120">
        <v>-9999</v>
      </c>
      <c r="AF33" s="120">
        <v>-9999</v>
      </c>
      <c r="AG33" s="120">
        <v>-9999</v>
      </c>
      <c r="AT33" t="s">
        <v>372</v>
      </c>
      <c r="AY33" s="125">
        <v>6</v>
      </c>
      <c r="AZ33" s="125" t="s">
        <v>130</v>
      </c>
      <c r="BL33">
        <v>50</v>
      </c>
      <c r="BM33" s="125">
        <v>125</v>
      </c>
      <c r="BO33" s="130">
        <v>20</v>
      </c>
      <c r="BP33" s="139">
        <v>100</v>
      </c>
      <c r="BQ33" s="142" t="s">
        <v>108</v>
      </c>
    </row>
    <row r="34" spans="1:78" x14ac:dyDescent="0.25">
      <c r="A34" s="120">
        <v>33</v>
      </c>
      <c r="B34" s="120" t="b">
        <v>0</v>
      </c>
      <c r="C34" s="120">
        <v>0</v>
      </c>
      <c r="D34" s="61">
        <v>1</v>
      </c>
      <c r="E34" s="120">
        <v>1</v>
      </c>
      <c r="F34" s="120" t="s">
        <v>167</v>
      </c>
      <c r="G34" s="55">
        <v>10</v>
      </c>
      <c r="H34" s="120">
        <v>41</v>
      </c>
      <c r="I34" s="57">
        <v>100</v>
      </c>
      <c r="J34" s="120">
        <v>100</v>
      </c>
      <c r="K34" s="120">
        <v>3</v>
      </c>
      <c r="L34" s="120">
        <v>40</v>
      </c>
      <c r="M34" s="120">
        <v>15</v>
      </c>
      <c r="N34" s="120">
        <v>40</v>
      </c>
      <c r="O34" s="120">
        <v>2</v>
      </c>
      <c r="P34" s="120">
        <v>16.666999816894499</v>
      </c>
      <c r="Q34" s="120">
        <v>11</v>
      </c>
      <c r="R34" s="120">
        <v>9.3999996185302699</v>
      </c>
      <c r="S34" s="148">
        <v>22.899999618530298</v>
      </c>
      <c r="T34" s="120">
        <v>57</v>
      </c>
      <c r="U34" s="120">
        <v>50</v>
      </c>
      <c r="V34" s="120">
        <v>-9999</v>
      </c>
      <c r="W34" s="120">
        <v>-9999</v>
      </c>
      <c r="X34" s="120">
        <v>-9999</v>
      </c>
      <c r="Y34" s="120">
        <v>-9999</v>
      </c>
      <c r="Z34" s="120">
        <v>-9999</v>
      </c>
      <c r="AA34" s="120">
        <v>68</v>
      </c>
      <c r="AB34" s="120">
        <v>14.5</v>
      </c>
      <c r="AC34" s="120">
        <v>33</v>
      </c>
      <c r="AD34" s="120">
        <v>1305</v>
      </c>
      <c r="AE34" s="120">
        <v>-9999</v>
      </c>
      <c r="AF34" s="120">
        <v>-9999</v>
      </c>
      <c r="AG34" s="120">
        <v>-9999</v>
      </c>
      <c r="AI34" t="s">
        <v>123</v>
      </c>
      <c r="AJ34" t="s">
        <v>124</v>
      </c>
      <c r="AM34" t="s">
        <v>144</v>
      </c>
      <c r="AN34" t="s">
        <v>124</v>
      </c>
      <c r="BL34">
        <v>60</v>
      </c>
      <c r="BM34" s="125">
        <v>100</v>
      </c>
      <c r="BO34" s="131">
        <v>20</v>
      </c>
      <c r="BP34" s="139">
        <v>100</v>
      </c>
      <c r="BQ34" s="141" t="s">
        <v>491</v>
      </c>
      <c r="BU34" t="s">
        <v>457</v>
      </c>
      <c r="BV34" s="129" t="e">
        <f t="array" ref="BV34">INDEX(tbl_secondary2[PSI],MATCH(Advanced!$C$30,tbl_secondary2[HP],0),1):INDEX(tbl_secondary2[PSI],MATCH(Advanced!$C$30,tbl_secondary2[HP],1),1)</f>
        <v>#N/A</v>
      </c>
      <c r="BY34" t="s">
        <v>459</v>
      </c>
      <c r="BZ34" s="129" t="s">
        <v>452</v>
      </c>
    </row>
    <row r="35" spans="1:78" x14ac:dyDescent="0.25">
      <c r="A35" s="120">
        <v>34</v>
      </c>
      <c r="B35" s="120" t="b">
        <v>0</v>
      </c>
      <c r="C35" s="120">
        <v>0</v>
      </c>
      <c r="D35" s="61">
        <v>1</v>
      </c>
      <c r="E35" s="120">
        <v>1</v>
      </c>
      <c r="F35" s="120" t="s">
        <v>167</v>
      </c>
      <c r="G35" s="55">
        <v>10</v>
      </c>
      <c r="H35" s="120">
        <v>39</v>
      </c>
      <c r="I35" s="57">
        <v>100</v>
      </c>
      <c r="J35" s="120">
        <v>110</v>
      </c>
      <c r="K35" s="120">
        <v>4</v>
      </c>
      <c r="L35" s="120">
        <v>100</v>
      </c>
      <c r="M35" s="120">
        <v>15</v>
      </c>
      <c r="N35" s="120">
        <v>40</v>
      </c>
      <c r="O35" s="120">
        <v>2</v>
      </c>
      <c r="P35" s="120">
        <v>-9999</v>
      </c>
      <c r="Q35" s="120">
        <v>10.5</v>
      </c>
      <c r="R35" s="120">
        <v>9</v>
      </c>
      <c r="S35" s="148">
        <v>22.899999618530298</v>
      </c>
      <c r="T35" s="120">
        <v>-9999</v>
      </c>
      <c r="U35" s="120">
        <v>50</v>
      </c>
      <c r="V35" s="120">
        <v>-9999</v>
      </c>
      <c r="W35" s="120">
        <v>-9999</v>
      </c>
      <c r="X35" s="120">
        <v>-9999</v>
      </c>
      <c r="Y35" s="120">
        <v>-9999</v>
      </c>
      <c r="Z35" s="120">
        <v>-9999</v>
      </c>
      <c r="AA35" s="120">
        <v>68</v>
      </c>
      <c r="AB35" s="120">
        <v>14.5</v>
      </c>
      <c r="AC35" s="120">
        <v>34</v>
      </c>
      <c r="AD35" s="120">
        <v>1306</v>
      </c>
      <c r="AE35" s="120">
        <v>-9999</v>
      </c>
      <c r="AF35" s="120">
        <v>-9999</v>
      </c>
      <c r="AG35" s="120">
        <v>-9999</v>
      </c>
      <c r="AI35">
        <v>1</v>
      </c>
      <c r="AJ35" t="s">
        <v>125</v>
      </c>
      <c r="AM35">
        <v>1</v>
      </c>
      <c r="AN35" t="s">
        <v>196</v>
      </c>
      <c r="BL35">
        <v>60</v>
      </c>
      <c r="BM35">
        <v>110</v>
      </c>
      <c r="BO35" s="131">
        <v>20</v>
      </c>
      <c r="BP35" s="139">
        <v>100</v>
      </c>
      <c r="BQ35" s="143" t="s">
        <v>492</v>
      </c>
      <c r="BU35" s="129" t="s">
        <v>458</v>
      </c>
      <c r="BV35" s="129" t="e">
        <f t="array" ref="BV35">INDEX(tbl_secondary2[PSI],MATCH(Advanced!$D$30,tbl_secondary2[HP],0),1):INDEX(tbl_secondary2[PSI],MATCH(Advanced!$D$30,tbl_secondary2[HP],1),1)</f>
        <v>#N/A</v>
      </c>
      <c r="BY35" t="s">
        <v>460</v>
      </c>
      <c r="BZ35" s="129" t="s">
        <v>461</v>
      </c>
    </row>
    <row r="36" spans="1:78" x14ac:dyDescent="0.25">
      <c r="A36" s="120">
        <v>35</v>
      </c>
      <c r="B36" s="120" t="b">
        <v>0</v>
      </c>
      <c r="C36" s="120">
        <v>0</v>
      </c>
      <c r="D36" s="61">
        <v>1</v>
      </c>
      <c r="E36" s="120">
        <v>1</v>
      </c>
      <c r="F36" s="120" t="s">
        <v>167</v>
      </c>
      <c r="G36" s="55">
        <v>10</v>
      </c>
      <c r="H36" s="120">
        <v>39</v>
      </c>
      <c r="I36" s="57">
        <v>100</v>
      </c>
      <c r="J36" s="120">
        <v>110</v>
      </c>
      <c r="K36" s="120">
        <v>11</v>
      </c>
      <c r="L36" s="120">
        <v>60</v>
      </c>
      <c r="M36" s="120">
        <v>15</v>
      </c>
      <c r="N36" s="120">
        <v>40</v>
      </c>
      <c r="O36" s="120">
        <v>2</v>
      </c>
      <c r="P36" s="120">
        <v>25</v>
      </c>
      <c r="Q36" s="120">
        <v>10.5</v>
      </c>
      <c r="R36" s="120">
        <v>9</v>
      </c>
      <c r="S36" s="148">
        <v>22.899999618530298</v>
      </c>
      <c r="T36" s="120">
        <v>70</v>
      </c>
      <c r="U36" s="120">
        <v>50</v>
      </c>
      <c r="V36" s="120">
        <v>-9999</v>
      </c>
      <c r="W36" s="120">
        <v>-9999</v>
      </c>
      <c r="X36" s="120">
        <v>-9999</v>
      </c>
      <c r="Y36" s="120">
        <v>-9999</v>
      </c>
      <c r="Z36" s="120">
        <v>-9999</v>
      </c>
      <c r="AA36" s="120">
        <v>68</v>
      </c>
      <c r="AB36" s="120">
        <v>14.5</v>
      </c>
      <c r="AC36" s="120">
        <v>35</v>
      </c>
      <c r="AD36" s="120">
        <v>1307</v>
      </c>
      <c r="AE36" s="120">
        <v>-9999</v>
      </c>
      <c r="AF36" s="120">
        <v>-9999</v>
      </c>
      <c r="AG36" s="120">
        <v>-9999</v>
      </c>
      <c r="AI36">
        <v>2</v>
      </c>
      <c r="AJ36" t="s">
        <v>126</v>
      </c>
      <c r="AM36">
        <v>2</v>
      </c>
      <c r="AN36" t="s">
        <v>197</v>
      </c>
      <c r="BB36" t="s">
        <v>369</v>
      </c>
      <c r="BF36" t="s">
        <v>370</v>
      </c>
      <c r="BL36">
        <v>60</v>
      </c>
      <c r="BM36" s="125">
        <v>115</v>
      </c>
      <c r="BO36" s="131">
        <v>20</v>
      </c>
      <c r="BP36" s="139">
        <v>100</v>
      </c>
      <c r="BQ36" s="141" t="s">
        <v>363</v>
      </c>
    </row>
    <row r="37" spans="1:78" x14ac:dyDescent="0.25">
      <c r="A37" s="120">
        <v>36</v>
      </c>
      <c r="B37" s="120" t="b">
        <v>0</v>
      </c>
      <c r="C37" s="120">
        <v>0</v>
      </c>
      <c r="D37" s="61">
        <v>1</v>
      </c>
      <c r="E37" s="120">
        <v>1</v>
      </c>
      <c r="F37" s="120" t="s">
        <v>167</v>
      </c>
      <c r="G37" s="55">
        <v>10</v>
      </c>
      <c r="H37" s="120">
        <v>35</v>
      </c>
      <c r="I37" s="57">
        <v>125</v>
      </c>
      <c r="J37" s="120">
        <v>135</v>
      </c>
      <c r="K37" s="120">
        <v>1</v>
      </c>
      <c r="L37" s="120">
        <v>50</v>
      </c>
      <c r="M37" s="120">
        <v>15</v>
      </c>
      <c r="N37" s="120">
        <v>40</v>
      </c>
      <c r="O37" s="120">
        <v>2</v>
      </c>
      <c r="P37" s="120">
        <v>5</v>
      </c>
      <c r="Q37" s="120">
        <v>10.5</v>
      </c>
      <c r="R37" s="120">
        <v>9</v>
      </c>
      <c r="S37" s="148">
        <v>25.5</v>
      </c>
      <c r="T37" s="120">
        <v>65</v>
      </c>
      <c r="U37" s="120">
        <v>42</v>
      </c>
      <c r="V37" s="120">
        <v>-9999</v>
      </c>
      <c r="W37" s="120">
        <v>-9999</v>
      </c>
      <c r="X37" s="120">
        <v>-9999</v>
      </c>
      <c r="Y37" s="120">
        <v>-9999</v>
      </c>
      <c r="Z37" s="120">
        <v>-9999</v>
      </c>
      <c r="AA37" s="120">
        <v>68</v>
      </c>
      <c r="AB37" s="120">
        <v>14.5</v>
      </c>
      <c r="AC37" s="120">
        <v>36</v>
      </c>
      <c r="AD37" s="120">
        <v>1308</v>
      </c>
      <c r="AE37" s="120">
        <v>-9999</v>
      </c>
      <c r="AF37" s="120">
        <v>-9999</v>
      </c>
      <c r="AG37" s="120">
        <v>-9999</v>
      </c>
      <c r="AI37">
        <v>3</v>
      </c>
      <c r="AJ37" t="s">
        <v>127</v>
      </c>
      <c r="AM37">
        <v>3</v>
      </c>
      <c r="AN37" t="s">
        <v>198</v>
      </c>
      <c r="AQ37" t="s">
        <v>123</v>
      </c>
      <c r="AR37" t="s">
        <v>208</v>
      </c>
      <c r="AS37" t="s">
        <v>117</v>
      </c>
      <c r="AT37" t="s">
        <v>209</v>
      </c>
      <c r="BB37" s="121" t="s">
        <v>117</v>
      </c>
      <c r="BC37" s="121" t="s">
        <v>121</v>
      </c>
      <c r="BD37" s="125" t="s">
        <v>118</v>
      </c>
      <c r="BE37" s="121"/>
      <c r="BF37" s="122" t="s">
        <v>117</v>
      </c>
      <c r="BG37" s="123" t="s">
        <v>121</v>
      </c>
      <c r="BH37" s="124" t="s">
        <v>118</v>
      </c>
      <c r="BK37" s="121"/>
      <c r="BL37">
        <v>60</v>
      </c>
      <c r="BM37" s="125">
        <v>125</v>
      </c>
      <c r="BO37" s="130">
        <v>20</v>
      </c>
      <c r="BP37" s="139">
        <v>110</v>
      </c>
      <c r="BQ37" s="142" t="s">
        <v>108</v>
      </c>
    </row>
    <row r="38" spans="1:78" x14ac:dyDescent="0.25">
      <c r="A38" s="120">
        <v>37</v>
      </c>
      <c r="B38" s="120" t="b">
        <v>0</v>
      </c>
      <c r="C38" s="120">
        <v>0</v>
      </c>
      <c r="D38" s="61">
        <v>1</v>
      </c>
      <c r="E38" s="120">
        <v>1</v>
      </c>
      <c r="F38" s="120" t="s">
        <v>167</v>
      </c>
      <c r="G38" s="55">
        <v>10</v>
      </c>
      <c r="H38" s="120">
        <v>37</v>
      </c>
      <c r="I38" s="57">
        <v>125</v>
      </c>
      <c r="J38" s="120">
        <v>125</v>
      </c>
      <c r="K38" s="120">
        <v>2</v>
      </c>
      <c r="L38" s="120">
        <v>50</v>
      </c>
      <c r="M38" s="120">
        <v>15</v>
      </c>
      <c r="N38" s="120">
        <v>40</v>
      </c>
      <c r="O38" s="120">
        <v>2</v>
      </c>
      <c r="P38" s="120">
        <v>20</v>
      </c>
      <c r="Q38" s="120">
        <v>11</v>
      </c>
      <c r="R38" s="120">
        <v>9.3999996185302699</v>
      </c>
      <c r="S38" s="148">
        <v>25.5</v>
      </c>
      <c r="T38" s="120">
        <v>65</v>
      </c>
      <c r="U38" s="120">
        <v>42</v>
      </c>
      <c r="V38" s="120">
        <v>-9999</v>
      </c>
      <c r="W38" s="120">
        <v>-9999</v>
      </c>
      <c r="X38" s="120">
        <v>-9999</v>
      </c>
      <c r="Y38" s="120">
        <v>-9999</v>
      </c>
      <c r="Z38" s="120">
        <v>-9999</v>
      </c>
      <c r="AA38" s="120">
        <v>68</v>
      </c>
      <c r="AB38" s="120">
        <v>14.5</v>
      </c>
      <c r="AC38" s="120">
        <v>37</v>
      </c>
      <c r="AD38" s="120">
        <v>1309</v>
      </c>
      <c r="AE38" s="120">
        <v>-9999</v>
      </c>
      <c r="AF38" s="120">
        <v>-9999</v>
      </c>
      <c r="AG38" s="120">
        <v>-9999</v>
      </c>
      <c r="AI38">
        <v>4</v>
      </c>
      <c r="AJ38" t="s">
        <v>128</v>
      </c>
      <c r="AM38">
        <v>4</v>
      </c>
      <c r="AN38" t="s">
        <v>199</v>
      </c>
      <c r="AQ38" s="52">
        <v>1</v>
      </c>
      <c r="AR38" s="52">
        <v>100</v>
      </c>
      <c r="AS38" s="52">
        <v>5</v>
      </c>
      <c r="AT38" s="52">
        <f>AVERAGEIFS(Compressors!$S:$S,Compressors!$G:$G,AS38,Compressors!$I:$I,AR38,Compressors!$D:$D,AQ38)</f>
        <v>25.899999618530295</v>
      </c>
      <c r="AU38" s="52">
        <v>25.9</v>
      </c>
      <c r="BB38" s="121">
        <v>5</v>
      </c>
      <c r="BC38" s="121">
        <v>25.899999618530298</v>
      </c>
      <c r="BD38" s="125">
        <v>100</v>
      </c>
      <c r="BE38" s="121"/>
      <c r="BK38" s="121"/>
      <c r="BL38" s="121">
        <v>75</v>
      </c>
      <c r="BM38" s="125">
        <v>100</v>
      </c>
      <c r="BO38" s="131">
        <v>20</v>
      </c>
      <c r="BP38" s="139">
        <v>110</v>
      </c>
      <c r="BQ38" s="143" t="s">
        <v>492</v>
      </c>
    </row>
    <row r="39" spans="1:78" x14ac:dyDescent="0.25">
      <c r="A39" s="120">
        <v>38</v>
      </c>
      <c r="B39" s="120" t="b">
        <v>0</v>
      </c>
      <c r="C39" s="120">
        <v>0</v>
      </c>
      <c r="D39" s="61">
        <v>1</v>
      </c>
      <c r="E39" s="120">
        <v>1</v>
      </c>
      <c r="F39" s="120" t="s">
        <v>167</v>
      </c>
      <c r="G39" s="55">
        <v>10</v>
      </c>
      <c r="H39" s="120">
        <v>37</v>
      </c>
      <c r="I39" s="57">
        <v>125</v>
      </c>
      <c r="J39" s="120">
        <v>125</v>
      </c>
      <c r="K39" s="120">
        <v>3</v>
      </c>
      <c r="L39" s="120">
        <v>40</v>
      </c>
      <c r="M39" s="120">
        <v>15</v>
      </c>
      <c r="N39" s="120">
        <v>40</v>
      </c>
      <c r="O39" s="120">
        <v>2</v>
      </c>
      <c r="P39" s="120">
        <v>16.666999816894499</v>
      </c>
      <c r="Q39" s="120">
        <v>11</v>
      </c>
      <c r="R39" s="120">
        <v>9.3999996185302699</v>
      </c>
      <c r="S39" s="148">
        <v>25.5</v>
      </c>
      <c r="T39" s="120">
        <v>57</v>
      </c>
      <c r="U39" s="120">
        <v>42</v>
      </c>
      <c r="V39" s="120">
        <v>-9999</v>
      </c>
      <c r="W39" s="120">
        <v>-9999</v>
      </c>
      <c r="X39" s="120">
        <v>-9999</v>
      </c>
      <c r="Y39" s="120">
        <v>-9999</v>
      </c>
      <c r="Z39" s="120">
        <v>-9999</v>
      </c>
      <c r="AA39" s="120">
        <v>68</v>
      </c>
      <c r="AB39" s="120">
        <v>14.5</v>
      </c>
      <c r="AC39" s="120">
        <v>38</v>
      </c>
      <c r="AD39" s="120">
        <v>1310</v>
      </c>
      <c r="AE39" s="120">
        <v>-9999</v>
      </c>
      <c r="AF39" s="120">
        <v>-9999</v>
      </c>
      <c r="AG39" s="120">
        <v>-9999</v>
      </c>
      <c r="AI39">
        <v>5</v>
      </c>
      <c r="AJ39" t="s">
        <v>129</v>
      </c>
      <c r="AM39">
        <v>5</v>
      </c>
      <c r="AN39" t="s">
        <v>200</v>
      </c>
      <c r="AQ39" s="52">
        <v>1</v>
      </c>
      <c r="AR39" s="52">
        <v>110</v>
      </c>
      <c r="AS39" s="52">
        <v>5</v>
      </c>
      <c r="AT39" s="52" t="e">
        <f>AVERAGEIFS(Compressors!$S:$S,Compressors!$G:$G,AS39,Compressors!$I:$I,AR39,Compressors!$D:$D,AQ39)</f>
        <v>#DIV/0!</v>
      </c>
      <c r="AU39">
        <v>26.06</v>
      </c>
      <c r="BB39" s="121">
        <v>5</v>
      </c>
      <c r="BC39" s="121">
        <v>25.899999618530298</v>
      </c>
      <c r="BD39" s="125">
        <v>100</v>
      </c>
      <c r="BE39" s="121"/>
      <c r="BK39" s="121"/>
      <c r="BL39" s="121">
        <v>75</v>
      </c>
      <c r="BM39" s="125">
        <v>110</v>
      </c>
      <c r="BO39" s="131">
        <v>20</v>
      </c>
      <c r="BP39" s="139">
        <v>110</v>
      </c>
      <c r="BQ39" s="143" t="s">
        <v>363</v>
      </c>
    </row>
    <row r="40" spans="1:78" x14ac:dyDescent="0.25">
      <c r="A40" s="120">
        <v>39</v>
      </c>
      <c r="B40" s="120" t="b">
        <v>0</v>
      </c>
      <c r="C40" s="120">
        <v>0</v>
      </c>
      <c r="D40" s="61">
        <v>1</v>
      </c>
      <c r="E40" s="120">
        <v>1</v>
      </c>
      <c r="F40" s="120" t="s">
        <v>167</v>
      </c>
      <c r="G40" s="55">
        <v>10</v>
      </c>
      <c r="H40" s="120">
        <v>35</v>
      </c>
      <c r="I40" s="57">
        <v>125</v>
      </c>
      <c r="J40" s="120">
        <v>135</v>
      </c>
      <c r="K40" s="120">
        <v>4</v>
      </c>
      <c r="L40" s="120">
        <v>100</v>
      </c>
      <c r="M40" s="120">
        <v>15</v>
      </c>
      <c r="N40" s="120">
        <v>40</v>
      </c>
      <c r="O40" s="120">
        <v>2</v>
      </c>
      <c r="P40" s="120">
        <v>-9999</v>
      </c>
      <c r="Q40" s="120">
        <v>10.5</v>
      </c>
      <c r="R40" s="120">
        <v>9</v>
      </c>
      <c r="S40" s="148">
        <v>25.5</v>
      </c>
      <c r="T40" s="120">
        <v>-9999</v>
      </c>
      <c r="U40" s="120">
        <v>42</v>
      </c>
      <c r="V40" s="120">
        <v>-9999</v>
      </c>
      <c r="W40" s="120">
        <v>-9999</v>
      </c>
      <c r="X40" s="120">
        <v>-9999</v>
      </c>
      <c r="Y40" s="120">
        <v>-9999</v>
      </c>
      <c r="Z40" s="120">
        <v>-9999</v>
      </c>
      <c r="AA40" s="120">
        <v>68</v>
      </c>
      <c r="AB40" s="120">
        <v>14.5</v>
      </c>
      <c r="AC40" s="120">
        <v>39</v>
      </c>
      <c r="AD40" s="120">
        <v>1311</v>
      </c>
      <c r="AE40" s="120">
        <v>-9999</v>
      </c>
      <c r="AF40" s="120">
        <v>-9999</v>
      </c>
      <c r="AG40" s="120">
        <v>-9999</v>
      </c>
      <c r="AI40">
        <v>6</v>
      </c>
      <c r="AJ40" t="s">
        <v>130</v>
      </c>
      <c r="AM40">
        <v>6</v>
      </c>
      <c r="AN40" t="s">
        <v>201</v>
      </c>
      <c r="AQ40" s="52">
        <v>1</v>
      </c>
      <c r="AR40" s="52">
        <v>115</v>
      </c>
      <c r="AS40" s="52">
        <v>5</v>
      </c>
      <c r="AT40" s="52" t="e">
        <f>AVERAGEIFS(Compressors!$S:$S,Compressors!$G:$G,AS40,Compressors!$I:$I,AR40,Compressors!$D:$D,AQ40)</f>
        <v>#DIV/0!</v>
      </c>
      <c r="AU40">
        <v>26.14</v>
      </c>
      <c r="BB40" s="121">
        <v>5</v>
      </c>
      <c r="BC40" s="121">
        <v>25.899999618530298</v>
      </c>
      <c r="BD40" s="125">
        <v>100</v>
      </c>
      <c r="BE40" s="121"/>
      <c r="BK40" s="121"/>
      <c r="BL40" s="121">
        <v>75</v>
      </c>
      <c r="BM40" s="125">
        <v>115</v>
      </c>
      <c r="BO40" s="130">
        <v>20</v>
      </c>
      <c r="BP40" s="139">
        <v>125</v>
      </c>
      <c r="BQ40" s="142" t="s">
        <v>108</v>
      </c>
    </row>
    <row r="41" spans="1:78" x14ac:dyDescent="0.25">
      <c r="A41" s="120">
        <v>40</v>
      </c>
      <c r="B41" s="120" t="b">
        <v>0</v>
      </c>
      <c r="C41" s="120">
        <v>0</v>
      </c>
      <c r="D41" s="61">
        <v>1</v>
      </c>
      <c r="E41" s="120">
        <v>1</v>
      </c>
      <c r="F41" s="120" t="s">
        <v>167</v>
      </c>
      <c r="G41" s="55">
        <v>10</v>
      </c>
      <c r="H41" s="120">
        <v>35</v>
      </c>
      <c r="I41" s="57">
        <v>125</v>
      </c>
      <c r="J41" s="120">
        <v>135</v>
      </c>
      <c r="K41" s="120">
        <v>11</v>
      </c>
      <c r="L41" s="120">
        <v>60</v>
      </c>
      <c r="M41" s="120">
        <v>15</v>
      </c>
      <c r="N41" s="120">
        <v>40</v>
      </c>
      <c r="O41" s="120">
        <v>2</v>
      </c>
      <c r="P41" s="120">
        <v>25</v>
      </c>
      <c r="Q41" s="120">
        <v>10.5</v>
      </c>
      <c r="R41" s="120">
        <v>9</v>
      </c>
      <c r="S41" s="148">
        <v>25.5</v>
      </c>
      <c r="T41" s="120">
        <v>70</v>
      </c>
      <c r="U41" s="120">
        <v>42</v>
      </c>
      <c r="V41" s="120">
        <v>-9999</v>
      </c>
      <c r="W41" s="120">
        <v>-9999</v>
      </c>
      <c r="X41" s="120">
        <v>-9999</v>
      </c>
      <c r="Y41" s="120">
        <v>-9999</v>
      </c>
      <c r="Z41" s="120">
        <v>-9999</v>
      </c>
      <c r="AA41" s="120">
        <v>68</v>
      </c>
      <c r="AB41" s="120">
        <v>14.5</v>
      </c>
      <c r="AC41" s="120">
        <v>40</v>
      </c>
      <c r="AD41" s="120">
        <v>1312</v>
      </c>
      <c r="AE41" s="120">
        <v>-9999</v>
      </c>
      <c r="AF41" s="120">
        <v>-9999</v>
      </c>
      <c r="AG41" s="120">
        <v>-9999</v>
      </c>
      <c r="AM41">
        <v>7</v>
      </c>
      <c r="AN41" t="s">
        <v>202</v>
      </c>
      <c r="AQ41" s="52">
        <v>1</v>
      </c>
      <c r="AR41" s="52">
        <v>125</v>
      </c>
      <c r="AS41" s="52">
        <v>5</v>
      </c>
      <c r="AT41" s="52">
        <f>AVERAGEIFS(Compressors!$S:$S,Compressors!$G:$G,AS41,Compressors!$I:$I,AR41,Compressors!$D:$D,AQ41)</f>
        <v>26.299999237060501</v>
      </c>
      <c r="AU41" s="52">
        <v>26.3</v>
      </c>
      <c r="BB41" s="121">
        <v>5</v>
      </c>
      <c r="BC41" s="121">
        <v>25.899999618530298</v>
      </c>
      <c r="BD41" s="125">
        <v>100</v>
      </c>
      <c r="BE41" s="121"/>
      <c r="BK41" s="121"/>
      <c r="BL41" s="121">
        <v>75</v>
      </c>
      <c r="BM41" s="125">
        <v>125</v>
      </c>
      <c r="BO41" s="131">
        <v>20</v>
      </c>
      <c r="BP41" s="139">
        <v>125</v>
      </c>
      <c r="BQ41" s="143" t="s">
        <v>491</v>
      </c>
    </row>
    <row r="42" spans="1:78" x14ac:dyDescent="0.25">
      <c r="A42" s="120">
        <v>41</v>
      </c>
      <c r="B42" s="120" t="b">
        <v>0</v>
      </c>
      <c r="C42" s="120">
        <v>0</v>
      </c>
      <c r="D42" s="61">
        <v>1</v>
      </c>
      <c r="E42" s="120">
        <v>1</v>
      </c>
      <c r="F42" s="120" t="s">
        <v>167</v>
      </c>
      <c r="G42" s="55">
        <v>10</v>
      </c>
      <c r="H42" s="120">
        <v>26</v>
      </c>
      <c r="I42" s="57">
        <v>150</v>
      </c>
      <c r="J42" s="120">
        <v>160</v>
      </c>
      <c r="K42" s="120">
        <v>1</v>
      </c>
      <c r="L42" s="120">
        <v>50</v>
      </c>
      <c r="M42" s="120">
        <v>15</v>
      </c>
      <c r="N42" s="120">
        <v>40</v>
      </c>
      <c r="O42" s="120">
        <v>2</v>
      </c>
      <c r="P42" s="120">
        <v>5</v>
      </c>
      <c r="Q42" s="120">
        <v>10.5</v>
      </c>
      <c r="R42" s="120">
        <v>9</v>
      </c>
      <c r="S42" s="148">
        <v>34.700000762939503</v>
      </c>
      <c r="T42" s="120">
        <v>65</v>
      </c>
      <c r="U42" s="120">
        <v>26</v>
      </c>
      <c r="V42" s="120">
        <v>-9999</v>
      </c>
      <c r="W42" s="120">
        <v>-9999</v>
      </c>
      <c r="X42" s="120">
        <v>-9999</v>
      </c>
      <c r="Y42" s="120">
        <v>-9999</v>
      </c>
      <c r="Z42" s="120">
        <v>-9999</v>
      </c>
      <c r="AA42" s="120">
        <v>68</v>
      </c>
      <c r="AB42" s="120">
        <v>14.5</v>
      </c>
      <c r="AC42" s="120">
        <v>41</v>
      </c>
      <c r="AD42" s="120">
        <v>1313</v>
      </c>
      <c r="AE42" s="120">
        <v>-9999</v>
      </c>
      <c r="AF42" s="120">
        <v>-9999</v>
      </c>
      <c r="AG42" s="120">
        <v>-9999</v>
      </c>
      <c r="AM42">
        <v>8</v>
      </c>
      <c r="AN42" t="s">
        <v>203</v>
      </c>
      <c r="AQ42" s="52">
        <v>2</v>
      </c>
      <c r="AR42" s="52">
        <v>100</v>
      </c>
      <c r="AS42" s="52">
        <v>5</v>
      </c>
      <c r="AT42" s="52" t="e">
        <f>AVERAGEIFS(Compressors!$S:$S,Compressors!$G:$G,AS42,Compressors!$I:$I,AR42,Compressors!$D:$D,AQ42)</f>
        <v>#DIV/0!</v>
      </c>
      <c r="AU42" s="65">
        <f>AU38*0.9</f>
        <v>23.31</v>
      </c>
      <c r="BB42" s="121">
        <v>5</v>
      </c>
      <c r="BC42" s="121">
        <v>25.899999618530298</v>
      </c>
      <c r="BD42" s="125">
        <v>100</v>
      </c>
      <c r="BE42" s="121"/>
      <c r="BK42" s="121"/>
      <c r="BL42" s="121">
        <v>100</v>
      </c>
      <c r="BM42" s="125">
        <v>100</v>
      </c>
      <c r="BO42" s="131">
        <v>20</v>
      </c>
      <c r="BP42" s="139">
        <v>125</v>
      </c>
      <c r="BQ42" s="143" t="s">
        <v>492</v>
      </c>
    </row>
    <row r="43" spans="1:78" x14ac:dyDescent="0.25">
      <c r="A43" s="120">
        <v>42</v>
      </c>
      <c r="B43" s="120" t="b">
        <v>0</v>
      </c>
      <c r="C43" s="120">
        <v>0</v>
      </c>
      <c r="D43" s="61">
        <v>1</v>
      </c>
      <c r="E43" s="120">
        <v>1</v>
      </c>
      <c r="F43" s="120" t="s">
        <v>167</v>
      </c>
      <c r="G43" s="55">
        <v>10</v>
      </c>
      <c r="H43" s="120">
        <v>27</v>
      </c>
      <c r="I43" s="57">
        <v>150</v>
      </c>
      <c r="J43" s="120">
        <v>150</v>
      </c>
      <c r="K43" s="120">
        <v>2</v>
      </c>
      <c r="L43" s="120">
        <v>50</v>
      </c>
      <c r="M43" s="120">
        <v>15</v>
      </c>
      <c r="N43" s="120">
        <v>40</v>
      </c>
      <c r="O43" s="120">
        <v>2</v>
      </c>
      <c r="P43" s="120">
        <v>20</v>
      </c>
      <c r="Q43" s="120">
        <v>11</v>
      </c>
      <c r="R43" s="120">
        <v>9.3999996185302699</v>
      </c>
      <c r="S43" s="148">
        <v>34.700000762939503</v>
      </c>
      <c r="T43" s="120">
        <v>65</v>
      </c>
      <c r="U43" s="120">
        <v>26</v>
      </c>
      <c r="V43" s="120">
        <v>-9999</v>
      </c>
      <c r="W43" s="120">
        <v>-9999</v>
      </c>
      <c r="X43" s="120">
        <v>-9999</v>
      </c>
      <c r="Y43" s="120">
        <v>-9999</v>
      </c>
      <c r="Z43" s="120">
        <v>-9999</v>
      </c>
      <c r="AA43" s="120">
        <v>68</v>
      </c>
      <c r="AB43" s="120">
        <v>14.5</v>
      </c>
      <c r="AC43" s="120">
        <v>42</v>
      </c>
      <c r="AD43" s="120">
        <v>1314</v>
      </c>
      <c r="AE43" s="120">
        <v>-9999</v>
      </c>
      <c r="AF43" s="120">
        <v>-9999</v>
      </c>
      <c r="AG43" s="120">
        <v>-9999</v>
      </c>
      <c r="AM43">
        <v>9</v>
      </c>
      <c r="AN43" t="s">
        <v>204</v>
      </c>
      <c r="AQ43" s="52">
        <v>2</v>
      </c>
      <c r="AR43" s="52">
        <v>110</v>
      </c>
      <c r="AS43" s="52">
        <v>5</v>
      </c>
      <c r="AT43" s="52" t="e">
        <f>AVERAGEIFS(Compressors!$S:$S,Compressors!$G:$G,AS43,Compressors!$I:$I,AR43,Compressors!$D:$D,AQ43)</f>
        <v>#DIV/0!</v>
      </c>
      <c r="AU43" s="65">
        <f>AU39*0.9</f>
        <v>23.454000000000001</v>
      </c>
      <c r="BB43" s="121">
        <v>5</v>
      </c>
      <c r="BC43" s="121">
        <v>26.299999237060501</v>
      </c>
      <c r="BD43" s="125">
        <v>125</v>
      </c>
      <c r="BE43" s="121"/>
      <c r="BK43" s="121"/>
      <c r="BL43" s="121">
        <v>100</v>
      </c>
      <c r="BM43" s="125">
        <v>110</v>
      </c>
      <c r="BO43" s="131">
        <v>20</v>
      </c>
      <c r="BP43" s="139">
        <v>125</v>
      </c>
      <c r="BQ43" s="143" t="s">
        <v>363</v>
      </c>
    </row>
    <row r="44" spans="1:78" x14ac:dyDescent="0.25">
      <c r="A44" s="120">
        <v>43</v>
      </c>
      <c r="B44" s="120" t="b">
        <v>0</v>
      </c>
      <c r="C44" s="120">
        <v>0</v>
      </c>
      <c r="D44" s="61">
        <v>1</v>
      </c>
      <c r="E44" s="120">
        <v>1</v>
      </c>
      <c r="F44" s="120" t="s">
        <v>167</v>
      </c>
      <c r="G44" s="55">
        <v>10</v>
      </c>
      <c r="H44" s="120">
        <v>27</v>
      </c>
      <c r="I44" s="57">
        <v>150</v>
      </c>
      <c r="J44" s="120">
        <v>150</v>
      </c>
      <c r="K44" s="120">
        <v>3</v>
      </c>
      <c r="L44" s="120">
        <v>40</v>
      </c>
      <c r="M44" s="120">
        <v>15</v>
      </c>
      <c r="N44" s="120">
        <v>40</v>
      </c>
      <c r="O44" s="120">
        <v>2</v>
      </c>
      <c r="P44" s="120">
        <v>16.666999816894499</v>
      </c>
      <c r="Q44" s="120">
        <v>11</v>
      </c>
      <c r="R44" s="120">
        <v>9.3999996185302699</v>
      </c>
      <c r="S44" s="148">
        <v>34.700000762939503</v>
      </c>
      <c r="T44" s="120">
        <v>57</v>
      </c>
      <c r="U44" s="120">
        <v>26</v>
      </c>
      <c r="V44" s="120">
        <v>-9999</v>
      </c>
      <c r="W44" s="120">
        <v>-9999</v>
      </c>
      <c r="X44" s="120">
        <v>-9999</v>
      </c>
      <c r="Y44" s="120">
        <v>-9999</v>
      </c>
      <c r="Z44" s="120">
        <v>-9999</v>
      </c>
      <c r="AA44" s="120">
        <v>68</v>
      </c>
      <c r="AB44" s="120">
        <v>14.5</v>
      </c>
      <c r="AC44" s="120">
        <v>43</v>
      </c>
      <c r="AD44" s="120">
        <v>1315</v>
      </c>
      <c r="AE44" s="120">
        <v>-9999</v>
      </c>
      <c r="AF44" s="120">
        <v>-9999</v>
      </c>
      <c r="AG44" s="120">
        <v>-9999</v>
      </c>
      <c r="AM44">
        <v>10</v>
      </c>
      <c r="AN44" t="s">
        <v>205</v>
      </c>
      <c r="AQ44" s="52">
        <v>2</v>
      </c>
      <c r="AR44" s="52">
        <v>115</v>
      </c>
      <c r="AS44" s="52">
        <v>5</v>
      </c>
      <c r="AT44" s="52" t="e">
        <f>AVERAGEIFS(Compressors!$S:$S,Compressors!$G:$G,AS44,Compressors!$I:$I,AR44,Compressors!$D:$D,AQ44)</f>
        <v>#DIV/0!</v>
      </c>
      <c r="AU44" s="65">
        <f>AU40*0.9</f>
        <v>23.526</v>
      </c>
      <c r="BB44" s="121">
        <v>5</v>
      </c>
      <c r="BC44" s="121">
        <v>26.299999237060501</v>
      </c>
      <c r="BD44" s="125">
        <v>125</v>
      </c>
      <c r="BE44" s="121"/>
      <c r="BK44" s="121"/>
      <c r="BL44" s="121">
        <v>100</v>
      </c>
      <c r="BM44" s="125">
        <v>115</v>
      </c>
      <c r="BO44" s="130">
        <v>25</v>
      </c>
      <c r="BP44" s="139">
        <v>100</v>
      </c>
      <c r="BQ44" s="142" t="s">
        <v>108</v>
      </c>
    </row>
    <row r="45" spans="1:78" x14ac:dyDescent="0.25">
      <c r="A45" s="120">
        <v>44</v>
      </c>
      <c r="B45" s="120" t="b">
        <v>0</v>
      </c>
      <c r="C45" s="120">
        <v>0</v>
      </c>
      <c r="D45" s="61">
        <v>1</v>
      </c>
      <c r="E45" s="120">
        <v>1</v>
      </c>
      <c r="F45" s="120" t="s">
        <v>167</v>
      </c>
      <c r="G45" s="55">
        <v>10</v>
      </c>
      <c r="H45" s="120">
        <v>26</v>
      </c>
      <c r="I45" s="57">
        <v>150</v>
      </c>
      <c r="J45" s="120">
        <v>160</v>
      </c>
      <c r="K45" s="120">
        <v>4</v>
      </c>
      <c r="L45" s="120">
        <v>100</v>
      </c>
      <c r="M45" s="120">
        <v>15</v>
      </c>
      <c r="N45" s="120">
        <v>40</v>
      </c>
      <c r="O45" s="120">
        <v>2</v>
      </c>
      <c r="P45" s="120">
        <v>-9999</v>
      </c>
      <c r="Q45" s="120">
        <v>10.5</v>
      </c>
      <c r="R45" s="120">
        <v>9</v>
      </c>
      <c r="S45" s="148">
        <v>34.700000762939503</v>
      </c>
      <c r="T45" s="120">
        <v>-9999</v>
      </c>
      <c r="U45" s="120">
        <v>26</v>
      </c>
      <c r="V45" s="120">
        <v>-9999</v>
      </c>
      <c r="W45" s="120">
        <v>-9999</v>
      </c>
      <c r="X45" s="120">
        <v>-9999</v>
      </c>
      <c r="Y45" s="120">
        <v>-9999</v>
      </c>
      <c r="Z45" s="120">
        <v>-9999</v>
      </c>
      <c r="AA45" s="120">
        <v>68</v>
      </c>
      <c r="AB45" s="120">
        <v>14.5</v>
      </c>
      <c r="AC45" s="120">
        <v>44</v>
      </c>
      <c r="AD45" s="120">
        <v>1316</v>
      </c>
      <c r="AE45" s="120">
        <v>-9999</v>
      </c>
      <c r="AF45" s="120">
        <v>-9999</v>
      </c>
      <c r="AG45" s="120">
        <v>-9999</v>
      </c>
      <c r="AI45" t="s">
        <v>279</v>
      </c>
      <c r="AJ45" t="s">
        <v>280</v>
      </c>
      <c r="AM45">
        <v>11</v>
      </c>
      <c r="AN45" t="s">
        <v>206</v>
      </c>
      <c r="AQ45" s="52">
        <v>2</v>
      </c>
      <c r="AR45" s="52">
        <v>125</v>
      </c>
      <c r="AS45" s="52">
        <v>5</v>
      </c>
      <c r="AT45" s="52" t="e">
        <f>AVERAGEIFS(Compressors!$S:$S,Compressors!$G:$G,AS45,Compressors!$I:$I,AR45,Compressors!$D:$D,AQ45)</f>
        <v>#DIV/0!</v>
      </c>
      <c r="AU45" s="65">
        <f>AU41*0.9</f>
        <v>23.67</v>
      </c>
      <c r="BB45" s="121">
        <v>5</v>
      </c>
      <c r="BC45" s="121">
        <v>26.299999237060501</v>
      </c>
      <c r="BD45" s="125">
        <v>125</v>
      </c>
      <c r="BE45" s="121"/>
      <c r="BK45" s="121"/>
      <c r="BL45" s="121">
        <v>100</v>
      </c>
      <c r="BM45" s="125">
        <v>125</v>
      </c>
      <c r="BO45" s="130">
        <v>25</v>
      </c>
      <c r="BP45" s="139">
        <v>100</v>
      </c>
      <c r="BQ45" s="143" t="s">
        <v>491</v>
      </c>
      <c r="BX45" s="129"/>
    </row>
    <row r="46" spans="1:78" x14ac:dyDescent="0.25">
      <c r="A46" s="120">
        <v>45</v>
      </c>
      <c r="B46" s="120" t="b">
        <v>0</v>
      </c>
      <c r="C46" s="120">
        <v>0</v>
      </c>
      <c r="D46" s="61">
        <v>1</v>
      </c>
      <c r="E46" s="120">
        <v>1</v>
      </c>
      <c r="F46" s="120" t="s">
        <v>167</v>
      </c>
      <c r="G46" s="55">
        <v>10</v>
      </c>
      <c r="H46" s="120">
        <v>26</v>
      </c>
      <c r="I46" s="57">
        <v>150</v>
      </c>
      <c r="J46" s="120">
        <v>160</v>
      </c>
      <c r="K46" s="120">
        <v>11</v>
      </c>
      <c r="L46" s="120">
        <v>60</v>
      </c>
      <c r="M46" s="120">
        <v>15</v>
      </c>
      <c r="N46" s="120">
        <v>40</v>
      </c>
      <c r="O46" s="120">
        <v>2</v>
      </c>
      <c r="P46" s="120">
        <v>25</v>
      </c>
      <c r="Q46" s="120">
        <v>10.5</v>
      </c>
      <c r="R46" s="120">
        <v>9</v>
      </c>
      <c r="S46" s="148">
        <v>34.700000762939503</v>
      </c>
      <c r="T46" s="120">
        <v>70</v>
      </c>
      <c r="U46" s="120">
        <v>26</v>
      </c>
      <c r="V46" s="120">
        <v>-9999</v>
      </c>
      <c r="W46" s="120">
        <v>-9999</v>
      </c>
      <c r="X46" s="120">
        <v>-9999</v>
      </c>
      <c r="Y46" s="120">
        <v>-9999</v>
      </c>
      <c r="Z46" s="120">
        <v>-9999</v>
      </c>
      <c r="AA46" s="120">
        <v>68</v>
      </c>
      <c r="AB46" s="120">
        <v>14.5</v>
      </c>
      <c r="AC46" s="120">
        <v>45</v>
      </c>
      <c r="AD46" s="120">
        <v>1317</v>
      </c>
      <c r="AE46" s="120">
        <v>-9999</v>
      </c>
      <c r="AF46" s="120">
        <v>-9999</v>
      </c>
      <c r="AG46" s="120">
        <v>-9999</v>
      </c>
      <c r="AI46" s="30" t="s">
        <v>84</v>
      </c>
      <c r="AJ46" s="30">
        <v>1.5</v>
      </c>
      <c r="AQ46" s="52">
        <v>4</v>
      </c>
      <c r="AR46" s="52">
        <v>100</v>
      </c>
      <c r="AS46" s="52">
        <v>5</v>
      </c>
      <c r="AT46" s="52">
        <f>AVERAGEIFS(Compressors!$S:$S,Compressors!$G:$G,AS46,Compressors!$I:$I,AR46,Compressors!$D:$D,AQ46)</f>
        <v>22.600000381469702</v>
      </c>
      <c r="AU46" s="52">
        <v>22.600000381469702</v>
      </c>
      <c r="BB46" s="121">
        <v>5</v>
      </c>
      <c r="BC46" s="121">
        <v>26.299999237060501</v>
      </c>
      <c r="BD46" s="125">
        <v>125</v>
      </c>
      <c r="BE46" s="121"/>
      <c r="BK46" s="121"/>
      <c r="BL46" s="121">
        <v>125</v>
      </c>
      <c r="BM46" s="125">
        <v>100</v>
      </c>
      <c r="BO46" s="131">
        <v>25</v>
      </c>
      <c r="BP46" s="139">
        <v>100</v>
      </c>
      <c r="BQ46" s="143" t="s">
        <v>492</v>
      </c>
    </row>
    <row r="47" spans="1:78" x14ac:dyDescent="0.25">
      <c r="A47" s="120">
        <v>46</v>
      </c>
      <c r="B47" s="120" t="b">
        <v>0</v>
      </c>
      <c r="C47" s="120">
        <v>0</v>
      </c>
      <c r="D47" s="61">
        <v>1</v>
      </c>
      <c r="E47" s="120">
        <v>1</v>
      </c>
      <c r="F47" s="120" t="s">
        <v>167</v>
      </c>
      <c r="G47" s="55">
        <v>10</v>
      </c>
      <c r="H47" s="120">
        <v>29</v>
      </c>
      <c r="I47" s="57">
        <v>175</v>
      </c>
      <c r="J47" s="120">
        <v>185</v>
      </c>
      <c r="K47" s="120">
        <v>1</v>
      </c>
      <c r="L47" s="120">
        <v>50</v>
      </c>
      <c r="M47" s="120">
        <v>15</v>
      </c>
      <c r="N47" s="120">
        <v>40</v>
      </c>
      <c r="O47" s="120">
        <v>2</v>
      </c>
      <c r="P47" s="120">
        <v>5</v>
      </c>
      <c r="Q47" s="120">
        <v>10.5</v>
      </c>
      <c r="R47" s="120">
        <v>9</v>
      </c>
      <c r="S47" s="148">
        <v>30.799999237060501</v>
      </c>
      <c r="T47" s="120">
        <v>65</v>
      </c>
      <c r="U47" s="120">
        <v>28</v>
      </c>
      <c r="V47" s="120">
        <v>-9999</v>
      </c>
      <c r="W47" s="120">
        <v>-9999</v>
      </c>
      <c r="X47" s="120">
        <v>-9999</v>
      </c>
      <c r="Y47" s="120">
        <v>-9999</v>
      </c>
      <c r="Z47" s="120">
        <v>-9999</v>
      </c>
      <c r="AA47" s="120">
        <v>68</v>
      </c>
      <c r="AB47" s="120">
        <v>14.5</v>
      </c>
      <c r="AC47" s="120">
        <v>46</v>
      </c>
      <c r="AD47" s="120">
        <v>1318</v>
      </c>
      <c r="AE47" s="120">
        <v>-9999</v>
      </c>
      <c r="AF47" s="120">
        <v>-9999</v>
      </c>
      <c r="AG47" s="120">
        <v>-9999</v>
      </c>
      <c r="AI47" s="30" t="s">
        <v>85</v>
      </c>
      <c r="AJ47" s="30">
        <v>1.08</v>
      </c>
      <c r="AQ47" s="52">
        <v>4</v>
      </c>
      <c r="AR47" s="52">
        <v>110</v>
      </c>
      <c r="AS47" s="52">
        <v>5</v>
      </c>
      <c r="AT47" s="52">
        <f>AVERAGEIFS(Compressors!$S:$S,Compressors!$G:$G,AS47,Compressors!$I:$I,AR47,Compressors!$D:$D,AQ47)</f>
        <v>24.100000381469702</v>
      </c>
      <c r="AU47" s="52">
        <v>24.100000381469702</v>
      </c>
      <c r="BB47" s="121">
        <v>5</v>
      </c>
      <c r="BC47" s="121">
        <v>26.299999237060501</v>
      </c>
      <c r="BD47" s="125">
        <v>125</v>
      </c>
      <c r="BE47" s="121"/>
      <c r="BK47" s="121"/>
      <c r="BL47" s="121">
        <v>125</v>
      </c>
      <c r="BM47" s="125">
        <v>110</v>
      </c>
      <c r="BO47" s="130">
        <v>25</v>
      </c>
      <c r="BP47" s="139">
        <v>100</v>
      </c>
      <c r="BQ47" s="143" t="s">
        <v>363</v>
      </c>
    </row>
    <row r="48" spans="1:78" x14ac:dyDescent="0.25">
      <c r="A48" s="120">
        <v>47</v>
      </c>
      <c r="B48" s="120" t="b">
        <v>0</v>
      </c>
      <c r="C48" s="120">
        <v>0</v>
      </c>
      <c r="D48" s="61">
        <v>1</v>
      </c>
      <c r="E48" s="120">
        <v>1</v>
      </c>
      <c r="F48" s="120" t="s">
        <v>167</v>
      </c>
      <c r="G48" s="55">
        <v>10</v>
      </c>
      <c r="H48" s="120">
        <v>30</v>
      </c>
      <c r="I48" s="57">
        <v>175</v>
      </c>
      <c r="J48" s="120">
        <v>175</v>
      </c>
      <c r="K48" s="120">
        <v>2</v>
      </c>
      <c r="L48" s="120">
        <v>50</v>
      </c>
      <c r="M48" s="120">
        <v>15</v>
      </c>
      <c r="N48" s="120">
        <v>40</v>
      </c>
      <c r="O48" s="120">
        <v>2</v>
      </c>
      <c r="P48" s="120">
        <v>20</v>
      </c>
      <c r="Q48" s="120">
        <v>11</v>
      </c>
      <c r="R48" s="120">
        <v>9.3999996185302699</v>
      </c>
      <c r="S48" s="148">
        <v>30.799999237060501</v>
      </c>
      <c r="T48" s="120">
        <v>65</v>
      </c>
      <c r="U48" s="120">
        <v>28</v>
      </c>
      <c r="V48" s="120">
        <v>-9999</v>
      </c>
      <c r="W48" s="120">
        <v>-9999</v>
      </c>
      <c r="X48" s="120">
        <v>-9999</v>
      </c>
      <c r="Y48" s="120">
        <v>-9999</v>
      </c>
      <c r="Z48" s="120">
        <v>-9999</v>
      </c>
      <c r="AA48" s="120">
        <v>68</v>
      </c>
      <c r="AB48" s="120">
        <v>14.5</v>
      </c>
      <c r="AC48" s="120">
        <v>47</v>
      </c>
      <c r="AD48" s="120">
        <v>1319</v>
      </c>
      <c r="AE48" s="120">
        <v>-9999</v>
      </c>
      <c r="AF48" s="120">
        <v>-9999</v>
      </c>
      <c r="AG48" s="120">
        <v>-9999</v>
      </c>
      <c r="AI48" s="30" t="s">
        <v>86</v>
      </c>
      <c r="AJ48" s="30">
        <v>1.7</v>
      </c>
      <c r="AQ48" s="52">
        <v>4</v>
      </c>
      <c r="AR48" s="52">
        <v>115</v>
      </c>
      <c r="AS48" s="52">
        <v>5</v>
      </c>
      <c r="AT48" s="52" t="e">
        <f>AVERAGEIFS(Compressors!$S:$S,Compressors!$G:$G,AS48,Compressors!$I:$I,AR48,Compressors!$D:$D,AQ48)</f>
        <v>#DIV/0!</v>
      </c>
      <c r="AU48">
        <f>AU46+AV49*15</f>
        <v>24.879999923706059</v>
      </c>
      <c r="BB48" s="121">
        <v>7.5</v>
      </c>
      <c r="BC48" s="121">
        <v>25.399999618530298</v>
      </c>
      <c r="BD48" s="125">
        <v>100</v>
      </c>
      <c r="BE48" s="121"/>
      <c r="BK48" s="121"/>
      <c r="BL48" s="121">
        <v>125</v>
      </c>
      <c r="BM48" s="125">
        <v>115</v>
      </c>
      <c r="BO48" s="130">
        <v>25</v>
      </c>
      <c r="BP48" s="139">
        <v>110</v>
      </c>
      <c r="BQ48" s="142" t="s">
        <v>108</v>
      </c>
    </row>
    <row r="49" spans="1:69" x14ac:dyDescent="0.25">
      <c r="A49" s="120">
        <v>48</v>
      </c>
      <c r="B49" s="120" t="b">
        <v>0</v>
      </c>
      <c r="C49" s="120">
        <v>0</v>
      </c>
      <c r="D49" s="61">
        <v>1</v>
      </c>
      <c r="E49" s="120">
        <v>1</v>
      </c>
      <c r="F49" s="120" t="s">
        <v>167</v>
      </c>
      <c r="G49" s="55">
        <v>10</v>
      </c>
      <c r="H49" s="120">
        <v>30</v>
      </c>
      <c r="I49" s="57">
        <v>175</v>
      </c>
      <c r="J49" s="120">
        <v>175</v>
      </c>
      <c r="K49" s="120">
        <v>3</v>
      </c>
      <c r="L49" s="120">
        <v>40</v>
      </c>
      <c r="M49" s="120">
        <v>15</v>
      </c>
      <c r="N49" s="120">
        <v>40</v>
      </c>
      <c r="O49" s="120">
        <v>2</v>
      </c>
      <c r="P49" s="120">
        <v>16.666999816894499</v>
      </c>
      <c r="Q49" s="120">
        <v>11</v>
      </c>
      <c r="R49" s="120">
        <v>9.3999996185302699</v>
      </c>
      <c r="S49" s="148">
        <v>30.799999237060501</v>
      </c>
      <c r="T49" s="120">
        <v>57</v>
      </c>
      <c r="U49" s="120">
        <v>28</v>
      </c>
      <c r="V49" s="120">
        <v>-9999</v>
      </c>
      <c r="W49" s="120">
        <v>-9999</v>
      </c>
      <c r="X49" s="120">
        <v>-9999</v>
      </c>
      <c r="Y49" s="120">
        <v>-9999</v>
      </c>
      <c r="Z49" s="120">
        <v>-9999</v>
      </c>
      <c r="AA49" s="120">
        <v>68</v>
      </c>
      <c r="AB49" s="120">
        <v>14.5</v>
      </c>
      <c r="AC49" s="120">
        <v>48</v>
      </c>
      <c r="AD49" s="120">
        <v>1320</v>
      </c>
      <c r="AE49" s="120">
        <v>-9999</v>
      </c>
      <c r="AF49" s="120">
        <v>-9999</v>
      </c>
      <c r="AG49" s="120">
        <v>-9999</v>
      </c>
      <c r="AI49" s="30" t="s">
        <v>88</v>
      </c>
      <c r="AJ49" s="30">
        <v>1.28</v>
      </c>
      <c r="AQ49" s="52">
        <v>4</v>
      </c>
      <c r="AR49" s="52">
        <v>125</v>
      </c>
      <c r="AS49" s="52">
        <v>5</v>
      </c>
      <c r="AT49" s="52">
        <f>AVERAGEIFS(Compressors!$S:$S,Compressors!$G:$G,AS49,Compressors!$I:$I,AR49,Compressors!$D:$D,AQ49)</f>
        <v>26.399999618530298</v>
      </c>
      <c r="AU49" s="52">
        <v>26.399999618530298</v>
      </c>
      <c r="AV49">
        <f>(AU49-AU46)/25</f>
        <v>0.15199996948242386</v>
      </c>
      <c r="BB49" s="121">
        <v>7.5</v>
      </c>
      <c r="BC49" s="121">
        <v>25.399999618530298</v>
      </c>
      <c r="BD49" s="125">
        <v>100</v>
      </c>
      <c r="BE49" s="121"/>
      <c r="BK49" s="121"/>
      <c r="BL49" s="121">
        <v>125</v>
      </c>
      <c r="BM49" s="125">
        <v>125</v>
      </c>
      <c r="BO49" s="131">
        <v>25</v>
      </c>
      <c r="BP49" s="139">
        <v>110</v>
      </c>
      <c r="BQ49" s="143" t="s">
        <v>492</v>
      </c>
    </row>
    <row r="50" spans="1:69" x14ac:dyDescent="0.25">
      <c r="A50" s="120">
        <v>49</v>
      </c>
      <c r="B50" s="120" t="b">
        <v>0</v>
      </c>
      <c r="C50" s="120">
        <v>0</v>
      </c>
      <c r="D50" s="61">
        <v>1</v>
      </c>
      <c r="E50" s="120">
        <v>1</v>
      </c>
      <c r="F50" s="120" t="s">
        <v>167</v>
      </c>
      <c r="G50" s="55">
        <v>10</v>
      </c>
      <c r="H50" s="120">
        <v>29</v>
      </c>
      <c r="I50" s="57">
        <v>175</v>
      </c>
      <c r="J50" s="120">
        <v>185</v>
      </c>
      <c r="K50" s="120">
        <v>4</v>
      </c>
      <c r="L50" s="120">
        <v>100</v>
      </c>
      <c r="M50" s="120">
        <v>15</v>
      </c>
      <c r="N50" s="120">
        <v>40</v>
      </c>
      <c r="O50" s="120">
        <v>2</v>
      </c>
      <c r="P50" s="120">
        <v>-9999</v>
      </c>
      <c r="Q50" s="120">
        <v>10.5</v>
      </c>
      <c r="R50" s="120">
        <v>9</v>
      </c>
      <c r="S50" s="148">
        <v>30.799999237060501</v>
      </c>
      <c r="T50" s="120">
        <v>-9999</v>
      </c>
      <c r="U50" s="120">
        <v>28</v>
      </c>
      <c r="V50" s="120">
        <v>-9999</v>
      </c>
      <c r="W50" s="120">
        <v>-9999</v>
      </c>
      <c r="X50" s="120">
        <v>-9999</v>
      </c>
      <c r="Y50" s="120">
        <v>-9999</v>
      </c>
      <c r="Z50" s="120">
        <v>-9999</v>
      </c>
      <c r="AA50" s="120">
        <v>68</v>
      </c>
      <c r="AB50" s="120">
        <v>14.5</v>
      </c>
      <c r="AC50" s="120">
        <v>49</v>
      </c>
      <c r="AD50" s="120">
        <v>1321</v>
      </c>
      <c r="AE50" s="120">
        <v>-9999</v>
      </c>
      <c r="AF50" s="120">
        <v>-9999</v>
      </c>
      <c r="AG50" s="120">
        <v>-9999</v>
      </c>
      <c r="AI50" s="30" t="s">
        <v>87</v>
      </c>
      <c r="AJ50" s="30">
        <v>1</v>
      </c>
      <c r="AQ50" s="52">
        <v>5</v>
      </c>
      <c r="AR50" s="52">
        <v>100</v>
      </c>
      <c r="AS50" s="52">
        <v>5</v>
      </c>
      <c r="AT50" s="52">
        <f>AVERAGEIFS(Compressors!$S:$S,Compressors!$G:$G,AS50,Compressors!$I:$I,AR50,Compressors!$D:$D,AQ50)</f>
        <v>18.600000381469702</v>
      </c>
      <c r="AU50" s="52">
        <v>18.600000381469702</v>
      </c>
      <c r="BB50" s="121">
        <v>7.5</v>
      </c>
      <c r="BC50" s="121">
        <v>25.399999618530298</v>
      </c>
      <c r="BD50" s="125">
        <v>100</v>
      </c>
      <c r="BE50" s="121"/>
      <c r="BK50" s="121"/>
      <c r="BL50" s="121">
        <v>150</v>
      </c>
      <c r="BM50" s="125">
        <v>100</v>
      </c>
      <c r="BO50" s="130">
        <v>25</v>
      </c>
      <c r="BP50" s="139">
        <v>110</v>
      </c>
      <c r="BQ50" s="143" t="s">
        <v>363</v>
      </c>
    </row>
    <row r="51" spans="1:69" x14ac:dyDescent="0.25">
      <c r="A51" s="120">
        <v>50</v>
      </c>
      <c r="B51" s="120" t="b">
        <v>0</v>
      </c>
      <c r="C51" s="120">
        <v>0</v>
      </c>
      <c r="D51" s="61">
        <v>1</v>
      </c>
      <c r="E51" s="120">
        <v>1</v>
      </c>
      <c r="F51" s="120" t="s">
        <v>167</v>
      </c>
      <c r="G51" s="55">
        <v>10</v>
      </c>
      <c r="H51" s="120">
        <v>29</v>
      </c>
      <c r="I51" s="57">
        <v>175</v>
      </c>
      <c r="J51" s="120">
        <v>185</v>
      </c>
      <c r="K51" s="120">
        <v>11</v>
      </c>
      <c r="L51" s="120">
        <v>60</v>
      </c>
      <c r="M51" s="120">
        <v>15</v>
      </c>
      <c r="N51" s="120">
        <v>40</v>
      </c>
      <c r="O51" s="120">
        <v>2</v>
      </c>
      <c r="P51" s="120">
        <v>25</v>
      </c>
      <c r="Q51" s="120">
        <v>10.5</v>
      </c>
      <c r="R51" s="120">
        <v>9</v>
      </c>
      <c r="S51" s="148">
        <v>30.799999237060501</v>
      </c>
      <c r="T51" s="120">
        <v>70</v>
      </c>
      <c r="U51" s="120">
        <v>28</v>
      </c>
      <c r="V51" s="120">
        <v>-9999</v>
      </c>
      <c r="W51" s="120">
        <v>-9999</v>
      </c>
      <c r="X51" s="120">
        <v>-9999</v>
      </c>
      <c r="Y51" s="120">
        <v>-9999</v>
      </c>
      <c r="Z51" s="120">
        <v>-9999</v>
      </c>
      <c r="AA51" s="120">
        <v>68</v>
      </c>
      <c r="AB51" s="120">
        <v>14.5</v>
      </c>
      <c r="AC51" s="120">
        <v>50</v>
      </c>
      <c r="AD51" s="120">
        <v>1322</v>
      </c>
      <c r="AE51" s="120">
        <v>-9999</v>
      </c>
      <c r="AF51" s="120">
        <v>-9999</v>
      </c>
      <c r="AG51" s="120">
        <v>-9999</v>
      </c>
      <c r="AQ51" s="52">
        <v>5</v>
      </c>
      <c r="AR51" s="52">
        <v>110</v>
      </c>
      <c r="AS51" s="52">
        <v>5</v>
      </c>
      <c r="AT51" s="52">
        <f>AVERAGEIFS(Compressors!$S:$S,Compressors!$G:$G,AS51,Compressors!$I:$I,AR51,Compressors!$D:$D,AQ51)</f>
        <v>19.5</v>
      </c>
      <c r="AU51" s="52">
        <v>19.5</v>
      </c>
      <c r="BB51" s="121">
        <v>7.5</v>
      </c>
      <c r="BC51" s="121">
        <v>25.399999618530298</v>
      </c>
      <c r="BD51" s="125">
        <v>100</v>
      </c>
      <c r="BE51" s="121"/>
      <c r="BK51" s="121"/>
      <c r="BL51" s="121">
        <v>150</v>
      </c>
      <c r="BM51" s="125">
        <v>110</v>
      </c>
      <c r="BO51" s="130">
        <v>25</v>
      </c>
      <c r="BP51" s="139">
        <v>115</v>
      </c>
      <c r="BQ51" s="142" t="s">
        <v>108</v>
      </c>
    </row>
    <row r="52" spans="1:69" x14ac:dyDescent="0.25">
      <c r="A52" s="120">
        <v>51</v>
      </c>
      <c r="B52" s="120" t="b">
        <v>0</v>
      </c>
      <c r="C52" s="120">
        <v>0</v>
      </c>
      <c r="D52" s="61">
        <v>1</v>
      </c>
      <c r="E52" s="120">
        <v>1</v>
      </c>
      <c r="F52" s="120" t="s">
        <v>168</v>
      </c>
      <c r="G52" s="55">
        <v>15</v>
      </c>
      <c r="H52" s="120">
        <v>62</v>
      </c>
      <c r="I52" s="57">
        <v>100</v>
      </c>
      <c r="J52" s="120">
        <v>110</v>
      </c>
      <c r="K52" s="120">
        <v>1</v>
      </c>
      <c r="L52" s="120">
        <v>50</v>
      </c>
      <c r="M52" s="120">
        <v>15</v>
      </c>
      <c r="N52" s="120">
        <v>40</v>
      </c>
      <c r="O52" s="120">
        <v>2</v>
      </c>
      <c r="P52" s="120">
        <v>5</v>
      </c>
      <c r="Q52" s="120">
        <v>15.800000190734901</v>
      </c>
      <c r="R52" s="120">
        <v>13.3999996185303</v>
      </c>
      <c r="S52" s="148">
        <v>21.799999237060501</v>
      </c>
      <c r="T52" s="120">
        <v>65</v>
      </c>
      <c r="U52" s="120">
        <v>29</v>
      </c>
      <c r="V52" s="120">
        <v>-9999</v>
      </c>
      <c r="W52" s="120">
        <v>-9999</v>
      </c>
      <c r="X52" s="120">
        <v>-9999</v>
      </c>
      <c r="Y52" s="120">
        <v>-9999</v>
      </c>
      <c r="Z52" s="120">
        <v>-9999</v>
      </c>
      <c r="AA52" s="120">
        <v>68</v>
      </c>
      <c r="AB52" s="120">
        <v>14.5</v>
      </c>
      <c r="AC52" s="120">
        <v>51</v>
      </c>
      <c r="AD52" s="120">
        <v>1323</v>
      </c>
      <c r="AE52" s="120">
        <v>-9999</v>
      </c>
      <c r="AF52" s="120">
        <v>-9999</v>
      </c>
      <c r="AG52" s="120">
        <v>-9999</v>
      </c>
      <c r="AQ52" s="52">
        <v>5</v>
      </c>
      <c r="AR52" s="52">
        <v>115</v>
      </c>
      <c r="AS52" s="52">
        <v>5</v>
      </c>
      <c r="AT52" s="52" t="e">
        <f>AVERAGEIFS(Compressors!$S:$S,Compressors!$G:$G,AS52,Compressors!$I:$I,AR52,Compressors!$D:$D,AQ52)</f>
        <v>#DIV/0!</v>
      </c>
      <c r="AU52">
        <f>AU50+AV53*15</f>
        <v>19.56000061035158</v>
      </c>
      <c r="BB52" s="121">
        <v>7.5</v>
      </c>
      <c r="BC52" s="121">
        <v>25.399999618530298</v>
      </c>
      <c r="BD52" s="125">
        <v>100</v>
      </c>
      <c r="BE52" s="121"/>
      <c r="BK52" s="121"/>
      <c r="BL52" s="121">
        <v>150</v>
      </c>
      <c r="BM52" s="125">
        <v>115</v>
      </c>
      <c r="BO52" s="131">
        <v>25</v>
      </c>
      <c r="BP52" s="139">
        <v>115</v>
      </c>
      <c r="BQ52" s="143" t="s">
        <v>491</v>
      </c>
    </row>
    <row r="53" spans="1:69" x14ac:dyDescent="0.25">
      <c r="A53" s="120">
        <v>52</v>
      </c>
      <c r="B53" s="120" t="b">
        <v>0</v>
      </c>
      <c r="C53" s="120">
        <v>0</v>
      </c>
      <c r="D53" s="61">
        <v>1</v>
      </c>
      <c r="E53" s="120">
        <v>1</v>
      </c>
      <c r="F53" s="120" t="s">
        <v>168</v>
      </c>
      <c r="G53" s="55">
        <v>15</v>
      </c>
      <c r="H53" s="120">
        <v>65</v>
      </c>
      <c r="I53" s="57">
        <v>100</v>
      </c>
      <c r="J53" s="120">
        <v>100</v>
      </c>
      <c r="K53" s="120">
        <v>2</v>
      </c>
      <c r="L53" s="120">
        <v>50</v>
      </c>
      <c r="M53" s="120">
        <v>15</v>
      </c>
      <c r="N53" s="120">
        <v>40</v>
      </c>
      <c r="O53" s="120">
        <v>2</v>
      </c>
      <c r="P53" s="120">
        <v>20</v>
      </c>
      <c r="Q53" s="120">
        <v>16.5</v>
      </c>
      <c r="R53" s="120">
        <v>14.1000003814697</v>
      </c>
      <c r="S53" s="148">
        <v>21.799999237060501</v>
      </c>
      <c r="T53" s="120">
        <v>65</v>
      </c>
      <c r="U53" s="120">
        <v>29</v>
      </c>
      <c r="V53" s="120">
        <v>-9999</v>
      </c>
      <c r="W53" s="120">
        <v>-9999</v>
      </c>
      <c r="X53" s="120">
        <v>-9999</v>
      </c>
      <c r="Y53" s="120">
        <v>-9999</v>
      </c>
      <c r="Z53" s="120">
        <v>-9999</v>
      </c>
      <c r="AA53" s="120">
        <v>68</v>
      </c>
      <c r="AB53" s="120">
        <v>14.5</v>
      </c>
      <c r="AC53" s="120">
        <v>52</v>
      </c>
      <c r="AD53" s="120">
        <v>1324</v>
      </c>
      <c r="AE53" s="120">
        <v>-9999</v>
      </c>
      <c r="AF53" s="120">
        <v>-9999</v>
      </c>
      <c r="AG53" s="120">
        <v>-9999</v>
      </c>
      <c r="AQ53" s="52">
        <v>5</v>
      </c>
      <c r="AR53" s="52">
        <v>125</v>
      </c>
      <c r="AS53" s="52">
        <v>5</v>
      </c>
      <c r="AT53" s="52">
        <f>AVERAGEIFS(Compressors!$S:$S,Compressors!$G:$G,AS53,Compressors!$I:$I,AR53,Compressors!$D:$D,AQ53)</f>
        <v>20.200000762939499</v>
      </c>
      <c r="AU53" s="52">
        <v>20.200000762939499</v>
      </c>
      <c r="AV53">
        <f>(AU53-AU50)/25</f>
        <v>6.4000015258791898E-2</v>
      </c>
      <c r="BB53" s="121">
        <v>7.5</v>
      </c>
      <c r="BC53" s="121">
        <v>27.700000762939499</v>
      </c>
      <c r="BD53" s="125">
        <v>125</v>
      </c>
      <c r="BE53" s="121"/>
      <c r="BK53" s="121"/>
      <c r="BL53" s="121">
        <v>150</v>
      </c>
      <c r="BM53" s="125">
        <v>125</v>
      </c>
      <c r="BO53" s="130">
        <v>25</v>
      </c>
      <c r="BP53" s="139">
        <v>125</v>
      </c>
      <c r="BQ53" s="142" t="s">
        <v>108</v>
      </c>
    </row>
    <row r="54" spans="1:69" x14ac:dyDescent="0.25">
      <c r="A54" s="120">
        <v>53</v>
      </c>
      <c r="B54" s="120" t="b">
        <v>0</v>
      </c>
      <c r="C54" s="120">
        <v>0</v>
      </c>
      <c r="D54" s="61">
        <v>1</v>
      </c>
      <c r="E54" s="120">
        <v>1</v>
      </c>
      <c r="F54" s="120" t="s">
        <v>168</v>
      </c>
      <c r="G54" s="55">
        <v>15</v>
      </c>
      <c r="H54" s="120">
        <v>65</v>
      </c>
      <c r="I54" s="57">
        <v>100</v>
      </c>
      <c r="J54" s="120">
        <v>100</v>
      </c>
      <c r="K54" s="120">
        <v>3</v>
      </c>
      <c r="L54" s="120">
        <v>40</v>
      </c>
      <c r="M54" s="120">
        <v>15</v>
      </c>
      <c r="N54" s="120">
        <v>40</v>
      </c>
      <c r="O54" s="120">
        <v>2</v>
      </c>
      <c r="P54" s="120">
        <v>16.666999816894499</v>
      </c>
      <c r="Q54" s="120">
        <v>16.5</v>
      </c>
      <c r="R54" s="120">
        <v>14.1000003814697</v>
      </c>
      <c r="S54" s="148">
        <v>21.799999237060501</v>
      </c>
      <c r="T54" s="120">
        <v>57</v>
      </c>
      <c r="U54" s="120">
        <v>29</v>
      </c>
      <c r="V54" s="120">
        <v>-9999</v>
      </c>
      <c r="W54" s="120">
        <v>-9999</v>
      </c>
      <c r="X54" s="120">
        <v>-9999</v>
      </c>
      <c r="Y54" s="120">
        <v>-9999</v>
      </c>
      <c r="Z54" s="120">
        <v>-9999</v>
      </c>
      <c r="AA54" s="120">
        <v>68</v>
      </c>
      <c r="AB54" s="120">
        <v>14.5</v>
      </c>
      <c r="AC54" s="120">
        <v>53</v>
      </c>
      <c r="AD54" s="120">
        <v>1325</v>
      </c>
      <c r="AE54" s="120">
        <v>-9999</v>
      </c>
      <c r="AF54" s="120">
        <v>-9999</v>
      </c>
      <c r="AG54" s="120">
        <v>-9999</v>
      </c>
      <c r="AQ54" s="52">
        <v>6</v>
      </c>
      <c r="AR54" s="52">
        <v>100</v>
      </c>
      <c r="AS54" s="52">
        <v>5</v>
      </c>
      <c r="AT54" s="52" t="e">
        <f>AVERAGEIFS(Compressors!$S:$S,Compressors!$G:$G,AS54,Compressors!$I:$I,AR54,Compressors!$D:$D,AQ54)</f>
        <v>#DIV/0!</v>
      </c>
      <c r="AU54" s="53"/>
      <c r="BB54" s="121">
        <v>7.5</v>
      </c>
      <c r="BC54" s="121">
        <v>27.700000762939499</v>
      </c>
      <c r="BD54" s="125">
        <v>125</v>
      </c>
      <c r="BE54" s="121"/>
      <c r="BK54" s="121"/>
      <c r="BL54" s="121">
        <v>200</v>
      </c>
      <c r="BM54" s="125">
        <v>100</v>
      </c>
      <c r="BO54" s="130">
        <v>25</v>
      </c>
      <c r="BP54" s="139">
        <v>125</v>
      </c>
      <c r="BQ54" s="141" t="s">
        <v>491</v>
      </c>
    </row>
    <row r="55" spans="1:69" x14ac:dyDescent="0.25">
      <c r="A55" s="120">
        <v>54</v>
      </c>
      <c r="B55" s="120" t="b">
        <v>0</v>
      </c>
      <c r="C55" s="120">
        <v>0</v>
      </c>
      <c r="D55" s="61">
        <v>1</v>
      </c>
      <c r="E55" s="120">
        <v>1</v>
      </c>
      <c r="F55" s="120" t="s">
        <v>168</v>
      </c>
      <c r="G55" s="55">
        <v>15</v>
      </c>
      <c r="H55" s="120">
        <v>62</v>
      </c>
      <c r="I55" s="57">
        <v>100</v>
      </c>
      <c r="J55" s="120">
        <v>110</v>
      </c>
      <c r="K55" s="120">
        <v>4</v>
      </c>
      <c r="L55" s="120">
        <v>100</v>
      </c>
      <c r="M55" s="120">
        <v>15</v>
      </c>
      <c r="N55" s="120">
        <v>40</v>
      </c>
      <c r="O55" s="120">
        <v>2</v>
      </c>
      <c r="P55" s="120">
        <v>-9999</v>
      </c>
      <c r="Q55" s="120">
        <v>15.800000190734901</v>
      </c>
      <c r="R55" s="120">
        <v>13.3999996185303</v>
      </c>
      <c r="S55" s="148">
        <v>21.799999237060501</v>
      </c>
      <c r="T55" s="120">
        <v>-9999</v>
      </c>
      <c r="U55" s="120">
        <v>29</v>
      </c>
      <c r="V55" s="120">
        <v>-9999</v>
      </c>
      <c r="W55" s="120">
        <v>-9999</v>
      </c>
      <c r="X55" s="120">
        <v>-9999</v>
      </c>
      <c r="Y55" s="120">
        <v>-9999</v>
      </c>
      <c r="Z55" s="120">
        <v>-9999</v>
      </c>
      <c r="AA55" s="120">
        <v>68</v>
      </c>
      <c r="AB55" s="120">
        <v>14.5</v>
      </c>
      <c r="AC55" s="120">
        <v>54</v>
      </c>
      <c r="AD55" s="120">
        <v>1326</v>
      </c>
      <c r="AE55" s="120">
        <v>-9999</v>
      </c>
      <c r="AF55" s="120">
        <v>-9999</v>
      </c>
      <c r="AG55" s="120">
        <v>-9999</v>
      </c>
      <c r="AQ55" s="52">
        <v>6</v>
      </c>
      <c r="AR55" s="52">
        <v>110</v>
      </c>
      <c r="AS55" s="52">
        <v>5</v>
      </c>
      <c r="AT55" s="52" t="e">
        <f>AVERAGEIFS(Compressors!$S:$S,Compressors!$G:$G,AS55,Compressors!$I:$I,AR55,Compressors!$D:$D,AQ55)</f>
        <v>#DIV/0!</v>
      </c>
      <c r="AU55" s="53"/>
      <c r="BB55" s="121">
        <v>7.5</v>
      </c>
      <c r="BC55" s="121">
        <v>27.700000762939499</v>
      </c>
      <c r="BD55" s="125">
        <v>125</v>
      </c>
      <c r="BE55" s="121"/>
      <c r="BK55" s="121"/>
      <c r="BL55" s="121">
        <v>200</v>
      </c>
      <c r="BM55" s="125">
        <v>110</v>
      </c>
      <c r="BO55" s="130">
        <v>25</v>
      </c>
      <c r="BP55" s="139">
        <v>125</v>
      </c>
      <c r="BQ55" s="143" t="s">
        <v>492</v>
      </c>
    </row>
    <row r="56" spans="1:69" x14ac:dyDescent="0.25">
      <c r="A56" s="120">
        <v>55</v>
      </c>
      <c r="B56" s="120" t="b">
        <v>0</v>
      </c>
      <c r="C56" s="120">
        <v>0</v>
      </c>
      <c r="D56" s="61">
        <v>1</v>
      </c>
      <c r="E56" s="120">
        <v>1</v>
      </c>
      <c r="F56" s="120" t="s">
        <v>168</v>
      </c>
      <c r="G56" s="55">
        <v>15</v>
      </c>
      <c r="H56" s="120">
        <v>62</v>
      </c>
      <c r="I56" s="57">
        <v>100</v>
      </c>
      <c r="J56" s="120">
        <v>110</v>
      </c>
      <c r="K56" s="120">
        <v>11</v>
      </c>
      <c r="L56" s="120">
        <v>60</v>
      </c>
      <c r="M56" s="120">
        <v>15</v>
      </c>
      <c r="N56" s="120">
        <v>40</v>
      </c>
      <c r="O56" s="120">
        <v>2</v>
      </c>
      <c r="P56" s="120">
        <v>25</v>
      </c>
      <c r="Q56" s="120">
        <v>15.800000190734901</v>
      </c>
      <c r="R56" s="120">
        <v>13.3999996185303</v>
      </c>
      <c r="S56" s="148">
        <v>21.799999237060501</v>
      </c>
      <c r="T56" s="120">
        <v>70</v>
      </c>
      <c r="U56" s="120">
        <v>29</v>
      </c>
      <c r="V56" s="120">
        <v>-9999</v>
      </c>
      <c r="W56" s="120">
        <v>-9999</v>
      </c>
      <c r="X56" s="120">
        <v>-9999</v>
      </c>
      <c r="Y56" s="120">
        <v>-9999</v>
      </c>
      <c r="Z56" s="120">
        <v>-9999</v>
      </c>
      <c r="AA56" s="120">
        <v>68</v>
      </c>
      <c r="AB56" s="120">
        <v>14.5</v>
      </c>
      <c r="AC56" s="120">
        <v>55</v>
      </c>
      <c r="AD56" s="120">
        <v>1327</v>
      </c>
      <c r="AE56" s="120">
        <v>-9999</v>
      </c>
      <c r="AF56" s="120">
        <v>-9999</v>
      </c>
      <c r="AG56" s="120">
        <v>-9999</v>
      </c>
      <c r="AI56" s="125"/>
      <c r="AQ56" s="52">
        <v>6</v>
      </c>
      <c r="AR56" s="52">
        <v>115</v>
      </c>
      <c r="AS56" s="52">
        <v>5</v>
      </c>
      <c r="AT56" s="52" t="e">
        <f>AVERAGEIFS(Compressors!$S:$S,Compressors!$G:$G,AS56,Compressors!$I:$I,AR56,Compressors!$D:$D,AQ56)</f>
        <v>#DIV/0!</v>
      </c>
      <c r="AU56" s="53"/>
      <c r="BB56" s="121">
        <v>7.5</v>
      </c>
      <c r="BC56" s="121">
        <v>27.700000762939499</v>
      </c>
      <c r="BD56" s="125">
        <v>125</v>
      </c>
      <c r="BE56" s="121"/>
      <c r="BK56" s="121"/>
      <c r="BL56" s="121">
        <v>200</v>
      </c>
      <c r="BM56" s="125">
        <v>115</v>
      </c>
      <c r="BO56" s="131">
        <v>25</v>
      </c>
      <c r="BP56" s="139">
        <v>125</v>
      </c>
      <c r="BQ56" s="143" t="s">
        <v>363</v>
      </c>
    </row>
    <row r="57" spans="1:69" x14ac:dyDescent="0.25">
      <c r="A57" s="120">
        <v>56</v>
      </c>
      <c r="B57" s="120" t="b">
        <v>0</v>
      </c>
      <c r="C57" s="120">
        <v>0</v>
      </c>
      <c r="D57" s="61">
        <v>1</v>
      </c>
      <c r="E57" s="120">
        <v>1</v>
      </c>
      <c r="F57" s="120" t="s">
        <v>168</v>
      </c>
      <c r="G57" s="55">
        <v>15</v>
      </c>
      <c r="H57" s="120">
        <v>54</v>
      </c>
      <c r="I57" s="57">
        <v>125</v>
      </c>
      <c r="J57" s="120">
        <v>135</v>
      </c>
      <c r="K57" s="120">
        <v>1</v>
      </c>
      <c r="L57" s="120">
        <v>50</v>
      </c>
      <c r="M57" s="120">
        <v>15</v>
      </c>
      <c r="N57" s="120">
        <v>40</v>
      </c>
      <c r="O57" s="120">
        <v>2</v>
      </c>
      <c r="P57" s="120">
        <v>5</v>
      </c>
      <c r="Q57" s="120">
        <v>15.800000190734901</v>
      </c>
      <c r="R57" s="120">
        <v>13.3999996185303</v>
      </c>
      <c r="S57" s="148">
        <v>25.100000381469702</v>
      </c>
      <c r="T57" s="120">
        <v>65</v>
      </c>
      <c r="U57" s="120">
        <v>26</v>
      </c>
      <c r="V57" s="120">
        <v>-9999</v>
      </c>
      <c r="W57" s="120">
        <v>-9999</v>
      </c>
      <c r="X57" s="120">
        <v>-9999</v>
      </c>
      <c r="Y57" s="120">
        <v>-9999</v>
      </c>
      <c r="Z57" s="120">
        <v>-9999</v>
      </c>
      <c r="AA57" s="120">
        <v>68</v>
      </c>
      <c r="AB57" s="120">
        <v>14.5</v>
      </c>
      <c r="AC57" s="120">
        <v>56</v>
      </c>
      <c r="AD57" s="120">
        <v>1328</v>
      </c>
      <c r="AE57" s="120">
        <v>-9999</v>
      </c>
      <c r="AF57" s="120">
        <v>-9999</v>
      </c>
      <c r="AG57" s="120">
        <v>-9999</v>
      </c>
      <c r="AQ57" s="52">
        <v>6</v>
      </c>
      <c r="AR57" s="52">
        <v>125</v>
      </c>
      <c r="AS57" s="52">
        <v>5</v>
      </c>
      <c r="AT57" s="52" t="e">
        <f>AVERAGEIFS(Compressors!$S:$S,Compressors!$G:$G,AS57,Compressors!$I:$I,AR57,Compressors!$D:$D,AQ57)</f>
        <v>#DIV/0!</v>
      </c>
      <c r="AU57" s="53"/>
      <c r="BB57" s="121">
        <v>7.5</v>
      </c>
      <c r="BC57" s="121">
        <v>27.700000762939499</v>
      </c>
      <c r="BD57" s="125">
        <v>125</v>
      </c>
      <c r="BE57" s="121"/>
      <c r="BI57" s="121"/>
      <c r="BJ57" s="121"/>
      <c r="BK57" s="121"/>
      <c r="BL57" s="121">
        <v>200</v>
      </c>
      <c r="BM57" s="125">
        <v>125</v>
      </c>
      <c r="BO57" s="130">
        <v>30</v>
      </c>
      <c r="BP57" s="139">
        <v>100</v>
      </c>
      <c r="BQ57" s="142" t="s">
        <v>108</v>
      </c>
    </row>
    <row r="58" spans="1:69" x14ac:dyDescent="0.25">
      <c r="A58" s="120">
        <v>57</v>
      </c>
      <c r="B58" s="120" t="b">
        <v>0</v>
      </c>
      <c r="C58" s="120">
        <v>0</v>
      </c>
      <c r="D58" s="61">
        <v>1</v>
      </c>
      <c r="E58" s="120">
        <v>1</v>
      </c>
      <c r="F58" s="120" t="s">
        <v>168</v>
      </c>
      <c r="G58" s="55">
        <v>15</v>
      </c>
      <c r="H58" s="120">
        <v>56</v>
      </c>
      <c r="I58" s="57">
        <v>125</v>
      </c>
      <c r="J58" s="120">
        <v>125</v>
      </c>
      <c r="K58" s="120">
        <v>2</v>
      </c>
      <c r="L58" s="120">
        <v>50</v>
      </c>
      <c r="M58" s="120">
        <v>15</v>
      </c>
      <c r="N58" s="120">
        <v>40</v>
      </c>
      <c r="O58" s="120">
        <v>2</v>
      </c>
      <c r="P58" s="120">
        <v>20</v>
      </c>
      <c r="Q58" s="120">
        <v>16.5</v>
      </c>
      <c r="R58" s="120">
        <v>14.1000003814697</v>
      </c>
      <c r="S58" s="148">
        <v>25.100000381469702</v>
      </c>
      <c r="T58" s="120">
        <v>65</v>
      </c>
      <c r="U58" s="120">
        <v>26</v>
      </c>
      <c r="V58" s="120">
        <v>-9999</v>
      </c>
      <c r="W58" s="120">
        <v>-9999</v>
      </c>
      <c r="X58" s="120">
        <v>-9999</v>
      </c>
      <c r="Y58" s="120">
        <v>-9999</v>
      </c>
      <c r="Z58" s="120">
        <v>-9999</v>
      </c>
      <c r="AA58" s="120">
        <v>68</v>
      </c>
      <c r="AB58" s="120">
        <v>14.5</v>
      </c>
      <c r="AC58" s="120">
        <v>57</v>
      </c>
      <c r="AD58" s="120">
        <v>1329</v>
      </c>
      <c r="AE58" s="120">
        <v>-9999</v>
      </c>
      <c r="AF58" s="120">
        <v>-9999</v>
      </c>
      <c r="AG58" s="120">
        <v>-9999</v>
      </c>
      <c r="AQ58" s="56">
        <v>1</v>
      </c>
      <c r="AR58" s="56">
        <v>100</v>
      </c>
      <c r="AS58" s="56">
        <v>10</v>
      </c>
      <c r="AT58" s="56">
        <f>AVERAGEIFS(Compressors!$S:$S,Compressors!$G:$G,AS58,Compressors!$I:$I,AR58,Compressors!$D:$D,AQ58)</f>
        <v>22.899999618530298</v>
      </c>
      <c r="AU58" s="56">
        <v>22.9</v>
      </c>
      <c r="BB58" s="121">
        <v>10</v>
      </c>
      <c r="BC58" s="121">
        <v>22.899999618530298</v>
      </c>
      <c r="BD58" s="125">
        <v>100</v>
      </c>
      <c r="BE58" s="121"/>
      <c r="BI58" s="121"/>
      <c r="BJ58" s="121"/>
      <c r="BK58" s="121"/>
      <c r="BL58" s="121"/>
      <c r="BM58" s="121"/>
      <c r="BO58" s="131">
        <v>30</v>
      </c>
      <c r="BP58" s="139">
        <v>100</v>
      </c>
      <c r="BQ58" s="143" t="s">
        <v>491</v>
      </c>
    </row>
    <row r="59" spans="1:69" x14ac:dyDescent="0.25">
      <c r="A59" s="120">
        <v>58</v>
      </c>
      <c r="B59" s="120" t="b">
        <v>0</v>
      </c>
      <c r="C59" s="120">
        <v>0</v>
      </c>
      <c r="D59" s="61">
        <v>1</v>
      </c>
      <c r="E59" s="120">
        <v>1</v>
      </c>
      <c r="F59" s="120" t="s">
        <v>168</v>
      </c>
      <c r="G59" s="55">
        <v>15</v>
      </c>
      <c r="H59" s="120">
        <v>56</v>
      </c>
      <c r="I59" s="57">
        <v>125</v>
      </c>
      <c r="J59" s="120">
        <v>125</v>
      </c>
      <c r="K59" s="120">
        <v>3</v>
      </c>
      <c r="L59" s="120">
        <v>40</v>
      </c>
      <c r="M59" s="120">
        <v>15</v>
      </c>
      <c r="N59" s="120">
        <v>40</v>
      </c>
      <c r="O59" s="120">
        <v>2</v>
      </c>
      <c r="P59" s="120">
        <v>16.666999816894499</v>
      </c>
      <c r="Q59" s="120">
        <v>16.5</v>
      </c>
      <c r="R59" s="120">
        <v>14.1000003814697</v>
      </c>
      <c r="S59" s="148">
        <v>25.100000381469702</v>
      </c>
      <c r="T59" s="120">
        <v>57</v>
      </c>
      <c r="U59" s="120">
        <v>26</v>
      </c>
      <c r="V59" s="120">
        <v>-9999</v>
      </c>
      <c r="W59" s="120">
        <v>-9999</v>
      </c>
      <c r="X59" s="120">
        <v>-9999</v>
      </c>
      <c r="Y59" s="120">
        <v>-9999</v>
      </c>
      <c r="Z59" s="120">
        <v>-9999</v>
      </c>
      <c r="AA59" s="120">
        <v>68</v>
      </c>
      <c r="AB59" s="120">
        <v>14.5</v>
      </c>
      <c r="AC59" s="120">
        <v>58</v>
      </c>
      <c r="AD59" s="120">
        <v>1330</v>
      </c>
      <c r="AE59" s="120">
        <v>-9999</v>
      </c>
      <c r="AF59" s="120">
        <v>-9999</v>
      </c>
      <c r="AG59" s="120">
        <v>-9999</v>
      </c>
      <c r="AQ59" s="56">
        <v>1</v>
      </c>
      <c r="AR59" s="56">
        <v>110</v>
      </c>
      <c r="AS59" s="56">
        <v>10</v>
      </c>
      <c r="AT59" s="56" t="e">
        <f>AVERAGEIFS(Compressors!$S:$S,Compressors!$G:$G,AS59,Compressors!$I:$I,AR59,Compressors!$D:$D,AQ59)</f>
        <v>#DIV/0!</v>
      </c>
      <c r="AU59" s="30">
        <v>23.94</v>
      </c>
      <c r="BB59" s="121">
        <v>10</v>
      </c>
      <c r="BC59" s="121">
        <v>22.899999618530298</v>
      </c>
      <c r="BD59" s="125">
        <v>100</v>
      </c>
      <c r="BE59" s="121"/>
      <c r="BI59" s="121"/>
      <c r="BJ59" s="121"/>
      <c r="BK59" s="121"/>
      <c r="BL59" s="121"/>
      <c r="BM59" s="121"/>
      <c r="BO59" s="131">
        <v>30</v>
      </c>
      <c r="BP59" s="139">
        <v>100</v>
      </c>
      <c r="BQ59" s="143" t="s">
        <v>492</v>
      </c>
    </row>
    <row r="60" spans="1:69" x14ac:dyDescent="0.25">
      <c r="A60" s="120">
        <v>59</v>
      </c>
      <c r="B60" s="120" t="b">
        <v>0</v>
      </c>
      <c r="C60" s="120">
        <v>0</v>
      </c>
      <c r="D60" s="61">
        <v>1</v>
      </c>
      <c r="E60" s="120">
        <v>1</v>
      </c>
      <c r="F60" s="120" t="s">
        <v>168</v>
      </c>
      <c r="G60" s="55">
        <v>15</v>
      </c>
      <c r="H60" s="120">
        <v>54</v>
      </c>
      <c r="I60" s="57">
        <v>125</v>
      </c>
      <c r="J60" s="120">
        <v>135</v>
      </c>
      <c r="K60" s="120">
        <v>4</v>
      </c>
      <c r="L60" s="120">
        <v>100</v>
      </c>
      <c r="M60" s="120">
        <v>15</v>
      </c>
      <c r="N60" s="120">
        <v>40</v>
      </c>
      <c r="O60" s="120">
        <v>2</v>
      </c>
      <c r="P60" s="120">
        <v>-9999</v>
      </c>
      <c r="Q60" s="120">
        <v>15.800000190734901</v>
      </c>
      <c r="R60" s="120">
        <v>13.3999996185303</v>
      </c>
      <c r="S60" s="148">
        <v>25.100000381469702</v>
      </c>
      <c r="T60" s="120">
        <v>-9999</v>
      </c>
      <c r="U60" s="120">
        <v>26</v>
      </c>
      <c r="V60" s="120">
        <v>-9999</v>
      </c>
      <c r="W60" s="120">
        <v>-9999</v>
      </c>
      <c r="X60" s="120">
        <v>-9999</v>
      </c>
      <c r="Y60" s="120">
        <v>-9999</v>
      </c>
      <c r="Z60" s="120">
        <v>-9999</v>
      </c>
      <c r="AA60" s="120">
        <v>68</v>
      </c>
      <c r="AB60" s="120">
        <v>14.5</v>
      </c>
      <c r="AC60" s="120">
        <v>59</v>
      </c>
      <c r="AD60" s="120">
        <v>1331</v>
      </c>
      <c r="AE60" s="120">
        <v>-9999</v>
      </c>
      <c r="AF60" s="120">
        <v>-9999</v>
      </c>
      <c r="AG60" s="120">
        <v>-9999</v>
      </c>
      <c r="AQ60" s="56">
        <v>1</v>
      </c>
      <c r="AR60" s="56">
        <v>115</v>
      </c>
      <c r="AS60" s="56">
        <v>10</v>
      </c>
      <c r="AT60" s="56" t="e">
        <f>AVERAGEIFS(Compressors!$S:$S,Compressors!$G:$G,AS60,Compressors!$I:$I,AR60,Compressors!$D:$D,AQ60)</f>
        <v>#DIV/0!</v>
      </c>
      <c r="AU60" s="30">
        <v>24.46</v>
      </c>
      <c r="BB60" s="121">
        <v>10</v>
      </c>
      <c r="BC60" s="121">
        <v>22.899999618530298</v>
      </c>
      <c r="BD60" s="125">
        <v>100</v>
      </c>
      <c r="BE60" s="121"/>
      <c r="BI60" s="121"/>
      <c r="BJ60" s="121"/>
      <c r="BK60" s="121"/>
      <c r="BL60" s="121"/>
      <c r="BM60" s="121"/>
      <c r="BO60" s="130">
        <v>30</v>
      </c>
      <c r="BP60" s="139">
        <v>100</v>
      </c>
      <c r="BQ60" s="143" t="s">
        <v>363</v>
      </c>
    </row>
    <row r="61" spans="1:69" x14ac:dyDescent="0.25">
      <c r="A61" s="120">
        <v>60</v>
      </c>
      <c r="B61" s="120" t="b">
        <v>0</v>
      </c>
      <c r="C61" s="120">
        <v>0</v>
      </c>
      <c r="D61" s="61">
        <v>1</v>
      </c>
      <c r="E61" s="120">
        <v>1</v>
      </c>
      <c r="F61" s="120" t="s">
        <v>168</v>
      </c>
      <c r="G61" s="55">
        <v>15</v>
      </c>
      <c r="H61" s="120">
        <v>54</v>
      </c>
      <c r="I61" s="57">
        <v>125</v>
      </c>
      <c r="J61" s="120">
        <v>135</v>
      </c>
      <c r="K61" s="120">
        <v>11</v>
      </c>
      <c r="L61" s="120">
        <v>60</v>
      </c>
      <c r="M61" s="120">
        <v>15</v>
      </c>
      <c r="N61" s="120">
        <v>40</v>
      </c>
      <c r="O61" s="120">
        <v>2</v>
      </c>
      <c r="P61" s="120">
        <v>25</v>
      </c>
      <c r="Q61" s="120">
        <v>15.800000190734901</v>
      </c>
      <c r="R61" s="120">
        <v>13.3999996185303</v>
      </c>
      <c r="S61" s="148">
        <v>25.100000381469702</v>
      </c>
      <c r="T61" s="120">
        <v>70</v>
      </c>
      <c r="U61" s="120">
        <v>26</v>
      </c>
      <c r="V61" s="120">
        <v>-9999</v>
      </c>
      <c r="W61" s="120">
        <v>-9999</v>
      </c>
      <c r="X61" s="120">
        <v>-9999</v>
      </c>
      <c r="Y61" s="120">
        <v>-9999</v>
      </c>
      <c r="Z61" s="120">
        <v>-9999</v>
      </c>
      <c r="AA61" s="120">
        <v>68</v>
      </c>
      <c r="AB61" s="120">
        <v>14.5</v>
      </c>
      <c r="AC61" s="120">
        <v>60</v>
      </c>
      <c r="AD61" s="120">
        <v>1332</v>
      </c>
      <c r="AE61" s="120">
        <v>-9999</v>
      </c>
      <c r="AF61" s="120">
        <v>-9999</v>
      </c>
      <c r="AG61" s="120">
        <v>-9999</v>
      </c>
      <c r="AQ61" s="56">
        <v>1</v>
      </c>
      <c r="AR61" s="56">
        <v>125</v>
      </c>
      <c r="AS61" s="56">
        <v>10</v>
      </c>
      <c r="AT61" s="56">
        <f>AVERAGEIFS(Compressors!$S:$S,Compressors!$G:$G,AS61,Compressors!$I:$I,AR61,Compressors!$D:$D,AQ61)</f>
        <v>25.5</v>
      </c>
      <c r="AU61" s="56">
        <v>25.5</v>
      </c>
      <c r="BB61" s="121">
        <v>10</v>
      </c>
      <c r="BC61" s="121">
        <v>22.899999618530298</v>
      </c>
      <c r="BD61" s="125">
        <v>100</v>
      </c>
      <c r="BE61" s="121"/>
      <c r="BI61" s="121"/>
      <c r="BJ61" s="121"/>
      <c r="BK61" s="121"/>
      <c r="BL61" s="121"/>
      <c r="BM61" s="121"/>
      <c r="BO61" s="130">
        <v>30</v>
      </c>
      <c r="BP61" s="139">
        <v>110</v>
      </c>
      <c r="BQ61" s="142" t="s">
        <v>108</v>
      </c>
    </row>
    <row r="62" spans="1:69" x14ac:dyDescent="0.25">
      <c r="A62" s="120">
        <v>61</v>
      </c>
      <c r="B62" s="120" t="b">
        <v>0</v>
      </c>
      <c r="C62" s="120">
        <v>0</v>
      </c>
      <c r="D62" s="61">
        <v>1</v>
      </c>
      <c r="E62" s="120">
        <v>1</v>
      </c>
      <c r="F62" s="120" t="s">
        <v>168</v>
      </c>
      <c r="G62" s="55">
        <v>15</v>
      </c>
      <c r="H62" s="120">
        <v>47</v>
      </c>
      <c r="I62" s="57">
        <v>150</v>
      </c>
      <c r="J62" s="120">
        <v>160</v>
      </c>
      <c r="K62" s="120">
        <v>1</v>
      </c>
      <c r="L62" s="120">
        <v>50</v>
      </c>
      <c r="M62" s="120">
        <v>15</v>
      </c>
      <c r="N62" s="120">
        <v>40</v>
      </c>
      <c r="O62" s="120">
        <v>2</v>
      </c>
      <c r="P62" s="120">
        <v>5</v>
      </c>
      <c r="Q62" s="120">
        <v>15.800000190734901</v>
      </c>
      <c r="R62" s="120">
        <v>13.3999996185303</v>
      </c>
      <c r="S62" s="148">
        <v>28.299999237060501</v>
      </c>
      <c r="T62" s="120">
        <v>65</v>
      </c>
      <c r="U62" s="120">
        <v>25</v>
      </c>
      <c r="V62" s="120">
        <v>-9999</v>
      </c>
      <c r="W62" s="120">
        <v>-9999</v>
      </c>
      <c r="X62" s="120">
        <v>-9999</v>
      </c>
      <c r="Y62" s="120">
        <v>-9999</v>
      </c>
      <c r="Z62" s="120">
        <v>-9999</v>
      </c>
      <c r="AA62" s="120">
        <v>68</v>
      </c>
      <c r="AB62" s="120">
        <v>14.5</v>
      </c>
      <c r="AC62" s="120">
        <v>61</v>
      </c>
      <c r="AD62" s="120">
        <v>1333</v>
      </c>
      <c r="AE62" s="120">
        <v>-9999</v>
      </c>
      <c r="AF62" s="120">
        <v>-9999</v>
      </c>
      <c r="AG62" s="120">
        <v>-9999</v>
      </c>
      <c r="AQ62" s="56">
        <v>2</v>
      </c>
      <c r="AR62" s="56">
        <v>100</v>
      </c>
      <c r="AS62" s="56">
        <v>10</v>
      </c>
      <c r="AT62" s="56" t="e">
        <f>AVERAGEIFS(Compressors!$S:$S,Compressors!$G:$G,AS62,Compressors!$I:$I,AR62,Compressors!$D:$D,AQ62)</f>
        <v>#DIV/0!</v>
      </c>
      <c r="AU62" s="65">
        <f>AU58*0.9</f>
        <v>20.61</v>
      </c>
      <c r="BB62" s="121">
        <v>10</v>
      </c>
      <c r="BC62" s="121">
        <v>22.899999618530298</v>
      </c>
      <c r="BD62" s="125">
        <v>100</v>
      </c>
      <c r="BE62" s="121"/>
      <c r="BI62" s="121"/>
      <c r="BJ62" s="121"/>
      <c r="BK62" s="121"/>
      <c r="BL62" s="121"/>
      <c r="BM62" s="121"/>
      <c r="BO62" s="131">
        <v>30</v>
      </c>
      <c r="BP62" s="139">
        <v>110</v>
      </c>
      <c r="BQ62" s="143" t="s">
        <v>492</v>
      </c>
    </row>
    <row r="63" spans="1:69" x14ac:dyDescent="0.25">
      <c r="A63" s="120">
        <v>62</v>
      </c>
      <c r="B63" s="120" t="b">
        <v>0</v>
      </c>
      <c r="C63" s="120">
        <v>0</v>
      </c>
      <c r="D63" s="61">
        <v>1</v>
      </c>
      <c r="E63" s="120">
        <v>1</v>
      </c>
      <c r="F63" s="120" t="s">
        <v>168</v>
      </c>
      <c r="G63" s="55">
        <v>15</v>
      </c>
      <c r="H63" s="120">
        <v>50</v>
      </c>
      <c r="I63" s="57">
        <v>150</v>
      </c>
      <c r="J63" s="120">
        <v>150</v>
      </c>
      <c r="K63" s="120">
        <v>2</v>
      </c>
      <c r="L63" s="120">
        <v>50</v>
      </c>
      <c r="M63" s="120">
        <v>15</v>
      </c>
      <c r="N63" s="120">
        <v>40</v>
      </c>
      <c r="O63" s="120">
        <v>2</v>
      </c>
      <c r="P63" s="120">
        <v>20</v>
      </c>
      <c r="Q63" s="120">
        <v>16.5</v>
      </c>
      <c r="R63" s="120">
        <v>14.1000003814697</v>
      </c>
      <c r="S63" s="148">
        <v>28.299999237060501</v>
      </c>
      <c r="T63" s="120">
        <v>65</v>
      </c>
      <c r="U63" s="120">
        <v>25</v>
      </c>
      <c r="V63" s="120">
        <v>-9999</v>
      </c>
      <c r="W63" s="120">
        <v>-9999</v>
      </c>
      <c r="X63" s="120">
        <v>-9999</v>
      </c>
      <c r="Y63" s="120">
        <v>-9999</v>
      </c>
      <c r="Z63" s="120">
        <v>-9999</v>
      </c>
      <c r="AA63" s="120">
        <v>68</v>
      </c>
      <c r="AB63" s="120">
        <v>14.5</v>
      </c>
      <c r="AC63" s="120">
        <v>62</v>
      </c>
      <c r="AD63" s="120">
        <v>1334</v>
      </c>
      <c r="AE63" s="120">
        <v>-9999</v>
      </c>
      <c r="AF63" s="120">
        <v>-9999</v>
      </c>
      <c r="AG63" s="120">
        <v>-9999</v>
      </c>
      <c r="AQ63" s="56">
        <v>2</v>
      </c>
      <c r="AR63" s="56">
        <v>110</v>
      </c>
      <c r="AS63" s="56">
        <v>10</v>
      </c>
      <c r="AT63" s="56" t="e">
        <f>AVERAGEIFS(Compressors!$S:$S,Compressors!$G:$G,AS63,Compressors!$I:$I,AR63,Compressors!$D:$D,AQ63)</f>
        <v>#DIV/0!</v>
      </c>
      <c r="AU63" s="65">
        <f>AU59*0.9</f>
        <v>21.546000000000003</v>
      </c>
      <c r="BB63" s="121">
        <v>10</v>
      </c>
      <c r="BC63" s="121">
        <v>25.5</v>
      </c>
      <c r="BD63" s="125">
        <v>125</v>
      </c>
      <c r="BE63" s="121"/>
      <c r="BI63" s="121"/>
      <c r="BJ63" s="121"/>
      <c r="BK63" s="121"/>
      <c r="BL63" s="121"/>
      <c r="BM63" s="121"/>
      <c r="BO63" s="130">
        <v>30</v>
      </c>
      <c r="BP63" s="139">
        <v>110</v>
      </c>
      <c r="BQ63" s="143" t="s">
        <v>363</v>
      </c>
    </row>
    <row r="64" spans="1:69" x14ac:dyDescent="0.25">
      <c r="A64" s="120">
        <v>63</v>
      </c>
      <c r="B64" s="120" t="b">
        <v>0</v>
      </c>
      <c r="C64" s="120">
        <v>0</v>
      </c>
      <c r="D64" s="61">
        <v>1</v>
      </c>
      <c r="E64" s="120">
        <v>1</v>
      </c>
      <c r="F64" s="120" t="s">
        <v>168</v>
      </c>
      <c r="G64" s="55">
        <v>15</v>
      </c>
      <c r="H64" s="120">
        <v>50</v>
      </c>
      <c r="I64" s="57">
        <v>150</v>
      </c>
      <c r="J64" s="120">
        <v>150</v>
      </c>
      <c r="K64" s="120">
        <v>3</v>
      </c>
      <c r="L64" s="120">
        <v>40</v>
      </c>
      <c r="M64" s="120">
        <v>15</v>
      </c>
      <c r="N64" s="120">
        <v>40</v>
      </c>
      <c r="O64" s="120">
        <v>2</v>
      </c>
      <c r="P64" s="120">
        <v>16.666999816894499</v>
      </c>
      <c r="Q64" s="120">
        <v>16.5</v>
      </c>
      <c r="R64" s="120">
        <v>14.1000003814697</v>
      </c>
      <c r="S64" s="148">
        <v>28.299999237060501</v>
      </c>
      <c r="T64" s="120">
        <v>57</v>
      </c>
      <c r="U64" s="120">
        <v>25</v>
      </c>
      <c r="V64" s="120">
        <v>-9999</v>
      </c>
      <c r="W64" s="120">
        <v>-9999</v>
      </c>
      <c r="X64" s="120">
        <v>-9999</v>
      </c>
      <c r="Y64" s="120">
        <v>-9999</v>
      </c>
      <c r="Z64" s="120">
        <v>-9999</v>
      </c>
      <c r="AA64" s="120">
        <v>68</v>
      </c>
      <c r="AB64" s="120">
        <v>14.5</v>
      </c>
      <c r="AC64" s="120">
        <v>63</v>
      </c>
      <c r="AD64" s="120">
        <v>1335</v>
      </c>
      <c r="AE64" s="120">
        <v>-9999</v>
      </c>
      <c r="AF64" s="120">
        <v>-9999</v>
      </c>
      <c r="AG64" s="120">
        <v>-9999</v>
      </c>
      <c r="AQ64" s="56">
        <v>2</v>
      </c>
      <c r="AR64" s="56">
        <v>115</v>
      </c>
      <c r="AS64" s="56">
        <v>10</v>
      </c>
      <c r="AT64" s="56" t="e">
        <f>AVERAGEIFS(Compressors!$S:$S,Compressors!$G:$G,AS64,Compressors!$I:$I,AR64,Compressors!$D:$D,AQ64)</f>
        <v>#DIV/0!</v>
      </c>
      <c r="AU64" s="65">
        <f>AU60*0.9</f>
        <v>22.014000000000003</v>
      </c>
      <c r="BB64" s="121">
        <v>10</v>
      </c>
      <c r="BC64" s="121">
        <v>25.5</v>
      </c>
      <c r="BD64" s="125">
        <v>125</v>
      </c>
      <c r="BE64" s="121"/>
      <c r="BI64" s="121"/>
      <c r="BJ64" s="121"/>
      <c r="BK64" s="121"/>
      <c r="BL64" s="121"/>
      <c r="BM64" s="121"/>
      <c r="BO64" s="130">
        <v>30</v>
      </c>
      <c r="BP64" s="139">
        <v>115</v>
      </c>
      <c r="BQ64" s="142" t="s">
        <v>108</v>
      </c>
    </row>
    <row r="65" spans="1:69" x14ac:dyDescent="0.25">
      <c r="A65" s="120">
        <v>64</v>
      </c>
      <c r="B65" s="120" t="b">
        <v>0</v>
      </c>
      <c r="C65" s="120">
        <v>0</v>
      </c>
      <c r="D65" s="61">
        <v>1</v>
      </c>
      <c r="E65" s="120">
        <v>1</v>
      </c>
      <c r="F65" s="120" t="s">
        <v>168</v>
      </c>
      <c r="G65" s="55">
        <v>15</v>
      </c>
      <c r="H65" s="120">
        <v>47</v>
      </c>
      <c r="I65" s="57">
        <v>150</v>
      </c>
      <c r="J65" s="120">
        <v>160</v>
      </c>
      <c r="K65" s="120">
        <v>4</v>
      </c>
      <c r="L65" s="120">
        <v>100</v>
      </c>
      <c r="M65" s="120">
        <v>15</v>
      </c>
      <c r="N65" s="120">
        <v>40</v>
      </c>
      <c r="O65" s="120">
        <v>2</v>
      </c>
      <c r="P65" s="120">
        <v>-9999</v>
      </c>
      <c r="Q65" s="120">
        <v>15.800000190734901</v>
      </c>
      <c r="R65" s="120">
        <v>13.3999996185303</v>
      </c>
      <c r="S65" s="148">
        <v>28.299999237060501</v>
      </c>
      <c r="T65" s="120">
        <v>-9999</v>
      </c>
      <c r="U65" s="120">
        <v>25</v>
      </c>
      <c r="V65" s="120">
        <v>-9999</v>
      </c>
      <c r="W65" s="120">
        <v>-9999</v>
      </c>
      <c r="X65" s="120">
        <v>-9999</v>
      </c>
      <c r="Y65" s="120">
        <v>-9999</v>
      </c>
      <c r="Z65" s="120">
        <v>-9999</v>
      </c>
      <c r="AA65" s="120">
        <v>68</v>
      </c>
      <c r="AB65" s="120">
        <v>14.5</v>
      </c>
      <c r="AC65" s="120">
        <v>64</v>
      </c>
      <c r="AD65" s="120">
        <v>1336</v>
      </c>
      <c r="AE65" s="120">
        <v>-9999</v>
      </c>
      <c r="AF65" s="120">
        <v>-9999</v>
      </c>
      <c r="AG65" s="120">
        <v>-9999</v>
      </c>
      <c r="AQ65" s="56">
        <v>2</v>
      </c>
      <c r="AR65" s="56">
        <v>125</v>
      </c>
      <c r="AS65" s="56">
        <v>10</v>
      </c>
      <c r="AT65" s="56" t="e">
        <f>AVERAGEIFS(Compressors!$S:$S,Compressors!$G:$G,AS65,Compressors!$I:$I,AR65,Compressors!$D:$D,AQ65)</f>
        <v>#DIV/0!</v>
      </c>
      <c r="AU65" s="65">
        <f>AU61*0.9</f>
        <v>22.95</v>
      </c>
      <c r="BB65" s="121">
        <v>10</v>
      </c>
      <c r="BC65" s="121">
        <v>25.5</v>
      </c>
      <c r="BD65" s="125">
        <v>125</v>
      </c>
      <c r="BE65" s="121"/>
      <c r="BI65" s="121"/>
      <c r="BJ65" s="121"/>
      <c r="BK65" s="121"/>
      <c r="BL65" s="121"/>
      <c r="BM65" s="121"/>
      <c r="BO65" s="131">
        <v>30</v>
      </c>
      <c r="BP65" s="139">
        <v>115</v>
      </c>
      <c r="BQ65" s="143" t="s">
        <v>491</v>
      </c>
    </row>
    <row r="66" spans="1:69" x14ac:dyDescent="0.25">
      <c r="A66" s="120">
        <v>65</v>
      </c>
      <c r="B66" s="120" t="b">
        <v>0</v>
      </c>
      <c r="C66" s="120">
        <v>0</v>
      </c>
      <c r="D66" s="61">
        <v>1</v>
      </c>
      <c r="E66" s="120">
        <v>1</v>
      </c>
      <c r="F66" s="120" t="s">
        <v>168</v>
      </c>
      <c r="G66" s="55">
        <v>15</v>
      </c>
      <c r="H66" s="120">
        <v>47</v>
      </c>
      <c r="I66" s="57">
        <v>150</v>
      </c>
      <c r="J66" s="120">
        <v>160</v>
      </c>
      <c r="K66" s="120">
        <v>11</v>
      </c>
      <c r="L66" s="120">
        <v>60</v>
      </c>
      <c r="M66" s="120">
        <v>15</v>
      </c>
      <c r="N66" s="120">
        <v>40</v>
      </c>
      <c r="O66" s="120">
        <v>2</v>
      </c>
      <c r="P66" s="120">
        <v>25</v>
      </c>
      <c r="Q66" s="120">
        <v>15.800000190734901</v>
      </c>
      <c r="R66" s="120">
        <v>13.3999996185303</v>
      </c>
      <c r="S66" s="148">
        <v>28.299999237060501</v>
      </c>
      <c r="T66" s="120">
        <v>70</v>
      </c>
      <c r="U66" s="120">
        <v>25</v>
      </c>
      <c r="V66" s="120">
        <v>-9999</v>
      </c>
      <c r="W66" s="120">
        <v>-9999</v>
      </c>
      <c r="X66" s="120">
        <v>-9999</v>
      </c>
      <c r="Y66" s="120">
        <v>-9999</v>
      </c>
      <c r="Z66" s="120">
        <v>-9999</v>
      </c>
      <c r="AA66" s="120">
        <v>68</v>
      </c>
      <c r="AB66" s="120">
        <v>14.5</v>
      </c>
      <c r="AC66" s="120">
        <v>65</v>
      </c>
      <c r="AD66" s="120">
        <v>1337</v>
      </c>
      <c r="AE66" s="120">
        <v>-9999</v>
      </c>
      <c r="AF66" s="120">
        <v>-9999</v>
      </c>
      <c r="AG66" s="120">
        <v>-9999</v>
      </c>
      <c r="AQ66" s="56">
        <v>4</v>
      </c>
      <c r="AR66" s="56">
        <v>100</v>
      </c>
      <c r="AS66" s="56">
        <v>10</v>
      </c>
      <c r="AT66" s="56">
        <f>AVERAGEIFS(Compressors!$S:$S,Compressors!$G:$G,AS66,Compressors!$I:$I,AR66,Compressors!$D:$D,AQ66)</f>
        <v>22</v>
      </c>
      <c r="AU66" s="56">
        <v>22</v>
      </c>
      <c r="BB66" s="121">
        <v>10</v>
      </c>
      <c r="BC66" s="121">
        <v>25.5</v>
      </c>
      <c r="BD66" s="125">
        <v>125</v>
      </c>
      <c r="BE66" s="121"/>
      <c r="BI66" s="121"/>
      <c r="BJ66" s="121"/>
      <c r="BK66" s="121"/>
      <c r="BL66" s="121"/>
      <c r="BM66" s="121"/>
      <c r="BO66" s="130">
        <v>30</v>
      </c>
      <c r="BP66" s="139">
        <v>125</v>
      </c>
      <c r="BQ66" s="142" t="s">
        <v>108</v>
      </c>
    </row>
    <row r="67" spans="1:69" x14ac:dyDescent="0.25">
      <c r="A67" s="120">
        <v>66</v>
      </c>
      <c r="B67" s="120" t="b">
        <v>0</v>
      </c>
      <c r="C67" s="120">
        <v>0</v>
      </c>
      <c r="D67" s="61">
        <v>1</v>
      </c>
      <c r="E67" s="120">
        <v>1</v>
      </c>
      <c r="F67" s="120" t="s">
        <v>168</v>
      </c>
      <c r="G67" s="55">
        <v>15</v>
      </c>
      <c r="H67" s="120">
        <v>46</v>
      </c>
      <c r="I67" s="57">
        <v>175</v>
      </c>
      <c r="J67" s="120">
        <v>185</v>
      </c>
      <c r="K67" s="120">
        <v>1</v>
      </c>
      <c r="L67" s="120">
        <v>50</v>
      </c>
      <c r="M67" s="120">
        <v>15</v>
      </c>
      <c r="N67" s="120">
        <v>40</v>
      </c>
      <c r="O67" s="120">
        <v>2</v>
      </c>
      <c r="P67" s="120">
        <v>5</v>
      </c>
      <c r="Q67" s="120">
        <v>15.800000190734901</v>
      </c>
      <c r="R67" s="120">
        <v>13.3999996185303</v>
      </c>
      <c r="S67" s="148">
        <v>29.200000762939499</v>
      </c>
      <c r="T67" s="120">
        <v>65</v>
      </c>
      <c r="U67" s="120">
        <v>25</v>
      </c>
      <c r="V67" s="120">
        <v>-9999</v>
      </c>
      <c r="W67" s="120">
        <v>-9999</v>
      </c>
      <c r="X67" s="120">
        <v>-9999</v>
      </c>
      <c r="Y67" s="120">
        <v>-9999</v>
      </c>
      <c r="Z67" s="120">
        <v>-9999</v>
      </c>
      <c r="AA67" s="120">
        <v>68</v>
      </c>
      <c r="AB67" s="120">
        <v>14.5</v>
      </c>
      <c r="AC67" s="120">
        <v>66</v>
      </c>
      <c r="AD67" s="120">
        <v>1338</v>
      </c>
      <c r="AE67" s="120">
        <v>-9999</v>
      </c>
      <c r="AF67" s="120">
        <v>-9999</v>
      </c>
      <c r="AG67" s="120">
        <v>-9999</v>
      </c>
      <c r="AQ67" s="56">
        <v>4</v>
      </c>
      <c r="AR67" s="56">
        <v>110</v>
      </c>
      <c r="AS67" s="56">
        <v>10</v>
      </c>
      <c r="AT67" s="56">
        <f>AVERAGEIFS(Compressors!$S:$S,Compressors!$G:$G,AS67,Compressors!$I:$I,AR67,Compressors!$D:$D,AQ67)</f>
        <v>23.399999618530298</v>
      </c>
      <c r="AU67" s="56">
        <v>23.399999618530298</v>
      </c>
      <c r="BB67" s="121">
        <v>10</v>
      </c>
      <c r="BC67" s="121">
        <v>25.5</v>
      </c>
      <c r="BD67" s="125">
        <v>125</v>
      </c>
      <c r="BE67" s="121"/>
      <c r="BI67" s="121"/>
      <c r="BJ67" s="121"/>
      <c r="BK67" s="121"/>
      <c r="BL67" s="121"/>
      <c r="BM67" s="121"/>
      <c r="BO67" s="131">
        <v>30</v>
      </c>
      <c r="BP67" s="139">
        <v>125</v>
      </c>
      <c r="BQ67" s="143" t="s">
        <v>491</v>
      </c>
    </row>
    <row r="68" spans="1:69" x14ac:dyDescent="0.25">
      <c r="A68" s="120">
        <v>67</v>
      </c>
      <c r="B68" s="120" t="b">
        <v>0</v>
      </c>
      <c r="C68" s="120">
        <v>0</v>
      </c>
      <c r="D68" s="61">
        <v>1</v>
      </c>
      <c r="E68" s="120">
        <v>1</v>
      </c>
      <c r="F68" s="120" t="s">
        <v>168</v>
      </c>
      <c r="G68" s="55">
        <v>15</v>
      </c>
      <c r="H68" s="120">
        <v>48</v>
      </c>
      <c r="I68" s="57">
        <v>175</v>
      </c>
      <c r="J68" s="120">
        <v>175</v>
      </c>
      <c r="K68" s="120">
        <v>2</v>
      </c>
      <c r="L68" s="120">
        <v>50</v>
      </c>
      <c r="M68" s="120">
        <v>15</v>
      </c>
      <c r="N68" s="120">
        <v>40</v>
      </c>
      <c r="O68" s="120">
        <v>2</v>
      </c>
      <c r="P68" s="120">
        <v>20</v>
      </c>
      <c r="Q68" s="120">
        <v>16.5</v>
      </c>
      <c r="R68" s="120">
        <v>14.1000003814697</v>
      </c>
      <c r="S68" s="148">
        <v>29.200000762939499</v>
      </c>
      <c r="T68" s="120">
        <v>65</v>
      </c>
      <c r="U68" s="120">
        <v>25</v>
      </c>
      <c r="V68" s="120">
        <v>-9999</v>
      </c>
      <c r="W68" s="120">
        <v>-9999</v>
      </c>
      <c r="X68" s="120">
        <v>-9999</v>
      </c>
      <c r="Y68" s="120">
        <v>-9999</v>
      </c>
      <c r="Z68" s="120">
        <v>-9999</v>
      </c>
      <c r="AA68" s="120">
        <v>68</v>
      </c>
      <c r="AB68" s="120">
        <v>14.5</v>
      </c>
      <c r="AC68" s="120">
        <v>67</v>
      </c>
      <c r="AD68" s="120">
        <v>1339</v>
      </c>
      <c r="AE68" s="120">
        <v>-9999</v>
      </c>
      <c r="AF68" s="120">
        <v>-9999</v>
      </c>
      <c r="AG68" s="120">
        <v>-9999</v>
      </c>
      <c r="AQ68" s="56">
        <v>4</v>
      </c>
      <c r="AR68" s="56">
        <v>115</v>
      </c>
      <c r="AS68" s="56">
        <v>10</v>
      </c>
      <c r="AT68" s="56" t="e">
        <f>AVERAGEIFS(Compressors!$S:$S,Compressors!$G:$G,AS68,Compressors!$I:$I,AR68,Compressors!$D:$D,AQ68)</f>
        <v>#DIV/0!</v>
      </c>
      <c r="AU68">
        <f>AU66+AV69*15</f>
        <v>24.16000022888182</v>
      </c>
      <c r="BB68" s="121">
        <v>15</v>
      </c>
      <c r="BC68" s="121">
        <v>21.799999237060501</v>
      </c>
      <c r="BD68" s="125">
        <v>100</v>
      </c>
      <c r="BE68" s="121"/>
      <c r="BI68" s="121"/>
      <c r="BJ68" s="121"/>
      <c r="BK68" s="121"/>
      <c r="BL68" s="121"/>
      <c r="BM68" s="121"/>
      <c r="BO68" s="131">
        <v>30</v>
      </c>
      <c r="BP68" s="139">
        <v>125</v>
      </c>
      <c r="BQ68" s="143" t="s">
        <v>492</v>
      </c>
    </row>
    <row r="69" spans="1:69" x14ac:dyDescent="0.25">
      <c r="A69" s="120">
        <v>68</v>
      </c>
      <c r="B69" s="120" t="b">
        <v>0</v>
      </c>
      <c r="C69" s="120">
        <v>0</v>
      </c>
      <c r="D69" s="61">
        <v>1</v>
      </c>
      <c r="E69" s="120">
        <v>1</v>
      </c>
      <c r="F69" s="120" t="s">
        <v>168</v>
      </c>
      <c r="G69" s="55">
        <v>15</v>
      </c>
      <c r="H69" s="120">
        <v>48</v>
      </c>
      <c r="I69" s="57">
        <v>175</v>
      </c>
      <c r="J69" s="120">
        <v>175</v>
      </c>
      <c r="K69" s="120">
        <v>3</v>
      </c>
      <c r="L69" s="120">
        <v>40</v>
      </c>
      <c r="M69" s="120">
        <v>15</v>
      </c>
      <c r="N69" s="120">
        <v>40</v>
      </c>
      <c r="O69" s="120">
        <v>2</v>
      </c>
      <c r="P69" s="120">
        <v>16.666999816894499</v>
      </c>
      <c r="Q69" s="120">
        <v>16.5</v>
      </c>
      <c r="R69" s="120">
        <v>14.1000003814697</v>
      </c>
      <c r="S69" s="148">
        <v>29.200000762939499</v>
      </c>
      <c r="T69" s="120">
        <v>57</v>
      </c>
      <c r="U69" s="120">
        <v>25</v>
      </c>
      <c r="V69" s="120">
        <v>-9999</v>
      </c>
      <c r="W69" s="120">
        <v>-9999</v>
      </c>
      <c r="X69" s="120">
        <v>-9999</v>
      </c>
      <c r="Y69" s="120">
        <v>-9999</v>
      </c>
      <c r="Z69" s="120">
        <v>-9999</v>
      </c>
      <c r="AA69" s="120">
        <v>68</v>
      </c>
      <c r="AB69" s="120">
        <v>14.5</v>
      </c>
      <c r="AC69" s="120">
        <v>68</v>
      </c>
      <c r="AD69" s="120">
        <v>1340</v>
      </c>
      <c r="AE69" s="120">
        <v>-9999</v>
      </c>
      <c r="AF69" s="120">
        <v>-9999</v>
      </c>
      <c r="AG69" s="120">
        <v>-9999</v>
      </c>
      <c r="AQ69" s="56">
        <v>4</v>
      </c>
      <c r="AR69" s="56">
        <v>125</v>
      </c>
      <c r="AS69" s="56">
        <v>10</v>
      </c>
      <c r="AT69" s="56">
        <f>AVERAGEIFS(Compressors!$S:$S,Compressors!$G:$G,AS69,Compressors!$I:$I,AR69,Compressors!$D:$D,AQ69)</f>
        <v>25.600000381469702</v>
      </c>
      <c r="AU69" s="56">
        <v>25.600000381469702</v>
      </c>
      <c r="AV69">
        <f>(AU69-AU66)/25</f>
        <v>0.14400001525878806</v>
      </c>
      <c r="BB69" s="121">
        <v>15</v>
      </c>
      <c r="BC69" s="121">
        <v>21.799999237060501</v>
      </c>
      <c r="BD69" s="125">
        <v>100</v>
      </c>
      <c r="BE69" s="121"/>
      <c r="BI69" s="121"/>
      <c r="BJ69" s="121"/>
      <c r="BK69" s="121"/>
      <c r="BL69" s="121"/>
      <c r="BM69" s="121"/>
      <c r="BO69" s="131">
        <v>30</v>
      </c>
      <c r="BP69" s="139">
        <v>125</v>
      </c>
      <c r="BQ69" s="143" t="s">
        <v>363</v>
      </c>
    </row>
    <row r="70" spans="1:69" x14ac:dyDescent="0.25">
      <c r="A70" s="120">
        <v>69</v>
      </c>
      <c r="B70" s="120" t="b">
        <v>0</v>
      </c>
      <c r="C70" s="120">
        <v>0</v>
      </c>
      <c r="D70" s="61">
        <v>1</v>
      </c>
      <c r="E70" s="120">
        <v>1</v>
      </c>
      <c r="F70" s="120" t="s">
        <v>168</v>
      </c>
      <c r="G70" s="55">
        <v>15</v>
      </c>
      <c r="H70" s="120">
        <v>46</v>
      </c>
      <c r="I70" s="57">
        <v>175</v>
      </c>
      <c r="J70" s="120">
        <v>185</v>
      </c>
      <c r="K70" s="120">
        <v>4</v>
      </c>
      <c r="L70" s="120">
        <v>100</v>
      </c>
      <c r="M70" s="120">
        <v>15</v>
      </c>
      <c r="N70" s="120">
        <v>40</v>
      </c>
      <c r="O70" s="120">
        <v>2</v>
      </c>
      <c r="P70" s="120">
        <v>-9999</v>
      </c>
      <c r="Q70" s="120">
        <v>15.800000190734901</v>
      </c>
      <c r="R70" s="120">
        <v>13.3999996185303</v>
      </c>
      <c r="S70" s="148">
        <v>29.200000762939499</v>
      </c>
      <c r="T70" s="120">
        <v>-9999</v>
      </c>
      <c r="U70" s="120">
        <v>25</v>
      </c>
      <c r="V70" s="120">
        <v>-9999</v>
      </c>
      <c r="W70" s="120">
        <v>-9999</v>
      </c>
      <c r="X70" s="120">
        <v>-9999</v>
      </c>
      <c r="Y70" s="120">
        <v>-9999</v>
      </c>
      <c r="Z70" s="120">
        <v>-9999</v>
      </c>
      <c r="AA70" s="120">
        <v>68</v>
      </c>
      <c r="AB70" s="120">
        <v>14.5</v>
      </c>
      <c r="AC70" s="120">
        <v>69</v>
      </c>
      <c r="AD70" s="120">
        <v>1341</v>
      </c>
      <c r="AE70" s="120">
        <v>-9999</v>
      </c>
      <c r="AF70" s="120">
        <v>-9999</v>
      </c>
      <c r="AG70" s="120">
        <v>-9999</v>
      </c>
      <c r="AQ70" s="56">
        <v>5</v>
      </c>
      <c r="AR70" s="56">
        <v>100</v>
      </c>
      <c r="AS70" s="56">
        <v>10</v>
      </c>
      <c r="AT70" s="56">
        <f>AVERAGEIFS(Compressors!$S:$S,Compressors!$G:$G,AS70,Compressors!$I:$I,AR70,Compressors!$D:$D,AQ70)</f>
        <v>18.100000381469702</v>
      </c>
      <c r="AU70" s="56">
        <v>18.100000381469702</v>
      </c>
      <c r="BB70" s="121">
        <v>15</v>
      </c>
      <c r="BC70" s="121">
        <v>21.799999237060501</v>
      </c>
      <c r="BD70" s="125">
        <v>100</v>
      </c>
      <c r="BE70" s="121"/>
      <c r="BI70" s="121"/>
      <c r="BJ70" s="121"/>
      <c r="BK70" s="121"/>
      <c r="BL70" s="121"/>
      <c r="BM70" s="121"/>
      <c r="BO70" s="130">
        <v>40</v>
      </c>
      <c r="BP70" s="139">
        <v>100</v>
      </c>
      <c r="BQ70" s="142" t="s">
        <v>108</v>
      </c>
    </row>
    <row r="71" spans="1:69" x14ac:dyDescent="0.25">
      <c r="A71" s="120">
        <v>70</v>
      </c>
      <c r="B71" s="120" t="b">
        <v>0</v>
      </c>
      <c r="C71" s="120">
        <v>0</v>
      </c>
      <c r="D71" s="61">
        <v>1</v>
      </c>
      <c r="E71" s="120">
        <v>1</v>
      </c>
      <c r="F71" s="120" t="s">
        <v>168</v>
      </c>
      <c r="G71" s="55">
        <v>15</v>
      </c>
      <c r="H71" s="120">
        <v>46</v>
      </c>
      <c r="I71" s="57">
        <v>175</v>
      </c>
      <c r="J71" s="120">
        <v>185</v>
      </c>
      <c r="K71" s="120">
        <v>11</v>
      </c>
      <c r="L71" s="120">
        <v>60</v>
      </c>
      <c r="M71" s="120">
        <v>15</v>
      </c>
      <c r="N71" s="120">
        <v>40</v>
      </c>
      <c r="O71" s="120">
        <v>2</v>
      </c>
      <c r="P71" s="120">
        <v>25</v>
      </c>
      <c r="Q71" s="120">
        <v>15.800000190734901</v>
      </c>
      <c r="R71" s="120">
        <v>13.3999996185303</v>
      </c>
      <c r="S71" s="148">
        <v>29.200000762939499</v>
      </c>
      <c r="T71" s="120">
        <v>70</v>
      </c>
      <c r="U71" s="120">
        <v>25</v>
      </c>
      <c r="V71" s="120">
        <v>-9999</v>
      </c>
      <c r="W71" s="120">
        <v>-9999</v>
      </c>
      <c r="X71" s="120">
        <v>-9999</v>
      </c>
      <c r="Y71" s="120">
        <v>-9999</v>
      </c>
      <c r="Z71" s="120">
        <v>-9999</v>
      </c>
      <c r="AA71" s="120">
        <v>68</v>
      </c>
      <c r="AB71" s="120">
        <v>14.5</v>
      </c>
      <c r="AC71" s="120">
        <v>70</v>
      </c>
      <c r="AD71" s="120">
        <v>1342</v>
      </c>
      <c r="AE71" s="120">
        <v>-9999</v>
      </c>
      <c r="AF71" s="120">
        <v>-9999</v>
      </c>
      <c r="AG71" s="120">
        <v>-9999</v>
      </c>
      <c r="AQ71" s="56">
        <v>5</v>
      </c>
      <c r="AR71" s="56">
        <v>110</v>
      </c>
      <c r="AS71" s="56">
        <v>10</v>
      </c>
      <c r="AT71" s="56">
        <f>AVERAGEIFS(Compressors!$S:$S,Compressors!$G:$G,AS71,Compressors!$I:$I,AR71,Compressors!$D:$D,AQ71)</f>
        <v>19</v>
      </c>
      <c r="AU71" s="56">
        <v>19</v>
      </c>
      <c r="BB71" s="121">
        <v>15</v>
      </c>
      <c r="BC71" s="121">
        <v>21.799999237060501</v>
      </c>
      <c r="BD71" s="125">
        <v>100</v>
      </c>
      <c r="BE71" s="121"/>
      <c r="BI71" s="121"/>
      <c r="BJ71" s="121"/>
      <c r="BK71" s="121"/>
      <c r="BL71" s="121"/>
      <c r="BM71" s="121"/>
      <c r="BO71" s="131">
        <v>40</v>
      </c>
      <c r="BP71" s="139">
        <v>100</v>
      </c>
      <c r="BQ71" s="143" t="s">
        <v>491</v>
      </c>
    </row>
    <row r="72" spans="1:69" x14ac:dyDescent="0.25">
      <c r="A72" s="120">
        <v>71</v>
      </c>
      <c r="B72" s="120" t="b">
        <v>0</v>
      </c>
      <c r="C72" s="120">
        <v>0</v>
      </c>
      <c r="D72" s="61">
        <v>1</v>
      </c>
      <c r="E72" s="120">
        <v>1</v>
      </c>
      <c r="F72" s="120" t="s">
        <v>169</v>
      </c>
      <c r="G72" s="55">
        <v>20</v>
      </c>
      <c r="H72" s="120">
        <v>82</v>
      </c>
      <c r="I72" s="57">
        <v>100</v>
      </c>
      <c r="J72" s="120">
        <v>110</v>
      </c>
      <c r="K72" s="120">
        <v>1</v>
      </c>
      <c r="L72" s="120">
        <v>50</v>
      </c>
      <c r="M72" s="120">
        <v>15</v>
      </c>
      <c r="N72" s="120">
        <v>40</v>
      </c>
      <c r="O72" s="120">
        <v>2</v>
      </c>
      <c r="P72" s="120">
        <v>5</v>
      </c>
      <c r="Q72" s="120">
        <v>21</v>
      </c>
      <c r="R72" s="120">
        <v>17.5</v>
      </c>
      <c r="S72" s="148">
        <v>21.299999237060501</v>
      </c>
      <c r="T72" s="120">
        <v>65</v>
      </c>
      <c r="U72" s="120">
        <v>29</v>
      </c>
      <c r="V72" s="120">
        <v>-9999</v>
      </c>
      <c r="W72" s="120">
        <v>-9999</v>
      </c>
      <c r="X72" s="120">
        <v>-9999</v>
      </c>
      <c r="Y72" s="120">
        <v>-9999</v>
      </c>
      <c r="Z72" s="120">
        <v>-9999</v>
      </c>
      <c r="AA72" s="120">
        <v>68</v>
      </c>
      <c r="AB72" s="120">
        <v>14.5</v>
      </c>
      <c r="AC72" s="120">
        <v>71</v>
      </c>
      <c r="AD72" s="120">
        <v>1343</v>
      </c>
      <c r="AE72" s="120">
        <v>-9999</v>
      </c>
      <c r="AF72" s="120">
        <v>-9999</v>
      </c>
      <c r="AG72" s="120">
        <v>-9999</v>
      </c>
      <c r="AQ72" s="56">
        <v>5</v>
      </c>
      <c r="AR72" s="56">
        <v>115</v>
      </c>
      <c r="AS72" s="56">
        <v>10</v>
      </c>
      <c r="AT72" s="56" t="e">
        <f>AVERAGEIFS(Compressors!$S:$S,Compressors!$G:$G,AS72,Compressors!$I:$I,AR72,Compressors!$D:$D,AQ72)</f>
        <v>#DIV/0!</v>
      </c>
      <c r="AU72">
        <f>AU70+AV73*15</f>
        <v>19.06000061035158</v>
      </c>
      <c r="BB72" s="121">
        <v>15</v>
      </c>
      <c r="BC72" s="121">
        <v>21.799999237060501</v>
      </c>
      <c r="BD72" s="125">
        <v>100</v>
      </c>
      <c r="BE72" s="121"/>
      <c r="BI72" s="121"/>
      <c r="BJ72" s="121"/>
      <c r="BK72" s="121"/>
      <c r="BL72" s="121"/>
      <c r="BM72" s="121"/>
      <c r="BO72" s="130">
        <v>40</v>
      </c>
      <c r="BP72" s="139">
        <v>100</v>
      </c>
      <c r="BQ72" s="143" t="s">
        <v>492</v>
      </c>
    </row>
    <row r="73" spans="1:69" x14ac:dyDescent="0.25">
      <c r="A73" s="120">
        <v>72</v>
      </c>
      <c r="B73" s="120" t="b">
        <v>0</v>
      </c>
      <c r="C73" s="120">
        <v>0</v>
      </c>
      <c r="D73" s="61">
        <v>1</v>
      </c>
      <c r="E73" s="120">
        <v>1</v>
      </c>
      <c r="F73" s="120" t="s">
        <v>169</v>
      </c>
      <c r="G73" s="55">
        <v>20</v>
      </c>
      <c r="H73" s="120">
        <v>86</v>
      </c>
      <c r="I73" s="57">
        <v>100</v>
      </c>
      <c r="J73" s="120">
        <v>100</v>
      </c>
      <c r="K73" s="120">
        <v>2</v>
      </c>
      <c r="L73" s="120">
        <v>50</v>
      </c>
      <c r="M73" s="120">
        <v>15</v>
      </c>
      <c r="N73" s="120">
        <v>40</v>
      </c>
      <c r="O73" s="120">
        <v>2</v>
      </c>
      <c r="P73" s="120">
        <v>20</v>
      </c>
      <c r="Q73" s="120">
        <v>22</v>
      </c>
      <c r="R73" s="120">
        <v>18.299999237060501</v>
      </c>
      <c r="S73" s="148">
        <v>21.299999237060501</v>
      </c>
      <c r="T73" s="120">
        <v>65</v>
      </c>
      <c r="U73" s="120">
        <v>29</v>
      </c>
      <c r="V73" s="120">
        <v>-9999</v>
      </c>
      <c r="W73" s="120">
        <v>-9999</v>
      </c>
      <c r="X73" s="120">
        <v>-9999</v>
      </c>
      <c r="Y73" s="120">
        <v>-9999</v>
      </c>
      <c r="Z73" s="120">
        <v>-9999</v>
      </c>
      <c r="AA73" s="120">
        <v>68</v>
      </c>
      <c r="AB73" s="120">
        <v>14.5</v>
      </c>
      <c r="AC73" s="120">
        <v>72</v>
      </c>
      <c r="AD73" s="120">
        <v>1344</v>
      </c>
      <c r="AE73" s="120">
        <v>-9999</v>
      </c>
      <c r="AF73" s="120">
        <v>-9999</v>
      </c>
      <c r="AG73" s="120">
        <v>-9999</v>
      </c>
      <c r="AQ73" s="56">
        <v>5</v>
      </c>
      <c r="AR73" s="56">
        <v>125</v>
      </c>
      <c r="AS73" s="56">
        <v>10</v>
      </c>
      <c r="AT73" s="56">
        <f>AVERAGEIFS(Compressors!$S:$S,Compressors!$G:$G,AS73,Compressors!$I:$I,AR73,Compressors!$D:$D,AQ73)</f>
        <v>19.700000762939499</v>
      </c>
      <c r="AU73" s="56">
        <v>19.700000762939499</v>
      </c>
      <c r="AV73">
        <f>(AU73-AU70)/25</f>
        <v>6.4000015258791898E-2</v>
      </c>
      <c r="BB73" s="121">
        <v>15</v>
      </c>
      <c r="BC73" s="121">
        <v>25.100000381469702</v>
      </c>
      <c r="BD73" s="125">
        <v>125</v>
      </c>
      <c r="BE73" s="121"/>
      <c r="BI73" s="121"/>
      <c r="BJ73" s="121"/>
      <c r="BK73" s="121"/>
      <c r="BL73" s="121"/>
      <c r="BM73" s="121"/>
      <c r="BO73" s="131">
        <v>40</v>
      </c>
      <c r="BP73" s="139">
        <v>100</v>
      </c>
      <c r="BQ73" s="143" t="s">
        <v>363</v>
      </c>
    </row>
    <row r="74" spans="1:69" x14ac:dyDescent="0.25">
      <c r="A74" s="120">
        <v>73</v>
      </c>
      <c r="B74" s="120" t="b">
        <v>0</v>
      </c>
      <c r="C74" s="120">
        <v>0</v>
      </c>
      <c r="D74" s="61">
        <v>1</v>
      </c>
      <c r="E74" s="120">
        <v>1</v>
      </c>
      <c r="F74" s="120" t="s">
        <v>169</v>
      </c>
      <c r="G74" s="55">
        <v>20</v>
      </c>
      <c r="H74" s="120">
        <v>86</v>
      </c>
      <c r="I74" s="57">
        <v>100</v>
      </c>
      <c r="J74" s="120">
        <v>100</v>
      </c>
      <c r="K74" s="120">
        <v>3</v>
      </c>
      <c r="L74" s="120">
        <v>40</v>
      </c>
      <c r="M74" s="120">
        <v>15</v>
      </c>
      <c r="N74" s="120">
        <v>40</v>
      </c>
      <c r="O74" s="120">
        <v>2</v>
      </c>
      <c r="P74" s="120">
        <v>16.666999816894499</v>
      </c>
      <c r="Q74" s="120">
        <v>22</v>
      </c>
      <c r="R74" s="120">
        <v>18.299999237060501</v>
      </c>
      <c r="S74" s="148">
        <v>21.299999237060501</v>
      </c>
      <c r="T74" s="120">
        <v>57</v>
      </c>
      <c r="U74" s="120">
        <v>29</v>
      </c>
      <c r="V74" s="120">
        <v>-9999</v>
      </c>
      <c r="W74" s="120">
        <v>-9999</v>
      </c>
      <c r="X74" s="120">
        <v>-9999</v>
      </c>
      <c r="Y74" s="120">
        <v>-9999</v>
      </c>
      <c r="Z74" s="120">
        <v>-9999</v>
      </c>
      <c r="AA74" s="120">
        <v>68</v>
      </c>
      <c r="AB74" s="120">
        <v>14.5</v>
      </c>
      <c r="AC74" s="120">
        <v>73</v>
      </c>
      <c r="AD74" s="120">
        <v>1345</v>
      </c>
      <c r="AE74" s="120">
        <v>-9999</v>
      </c>
      <c r="AF74" s="120">
        <v>-9999</v>
      </c>
      <c r="AG74" s="120">
        <v>-9999</v>
      </c>
      <c r="AQ74" s="56">
        <v>6</v>
      </c>
      <c r="AR74" s="56">
        <v>100</v>
      </c>
      <c r="AS74" s="56">
        <v>10</v>
      </c>
      <c r="AT74" s="56" t="e">
        <f>AVERAGEIFS(Compressors!$S:$S,Compressors!$G:$G,AS74,Compressors!$I:$I,AR74,Compressors!$D:$D,AQ74)</f>
        <v>#DIV/0!</v>
      </c>
      <c r="AU74" s="53"/>
      <c r="BB74" s="121">
        <v>15</v>
      </c>
      <c r="BC74" s="121">
        <v>25.100000381469702</v>
      </c>
      <c r="BD74" s="125">
        <v>125</v>
      </c>
      <c r="BE74" s="121"/>
      <c r="BI74" s="121"/>
      <c r="BJ74" s="121"/>
      <c r="BK74" s="121"/>
      <c r="BL74" s="121"/>
      <c r="BM74" s="121"/>
      <c r="BO74" s="130">
        <v>40</v>
      </c>
      <c r="BP74" s="139">
        <v>110</v>
      </c>
      <c r="BQ74" s="142" t="s">
        <v>108</v>
      </c>
    </row>
    <row r="75" spans="1:69" x14ac:dyDescent="0.25">
      <c r="A75" s="120">
        <v>74</v>
      </c>
      <c r="B75" s="120" t="b">
        <v>0</v>
      </c>
      <c r="C75" s="120">
        <v>0</v>
      </c>
      <c r="D75" s="61">
        <v>1</v>
      </c>
      <c r="E75" s="120">
        <v>1</v>
      </c>
      <c r="F75" s="120" t="s">
        <v>169</v>
      </c>
      <c r="G75" s="55">
        <v>20</v>
      </c>
      <c r="H75" s="120">
        <v>82</v>
      </c>
      <c r="I75" s="57">
        <v>100</v>
      </c>
      <c r="J75" s="120">
        <v>110</v>
      </c>
      <c r="K75" s="120">
        <v>4</v>
      </c>
      <c r="L75" s="120">
        <v>100</v>
      </c>
      <c r="M75" s="120">
        <v>15</v>
      </c>
      <c r="N75" s="120">
        <v>40</v>
      </c>
      <c r="O75" s="120">
        <v>2</v>
      </c>
      <c r="P75" s="120">
        <v>-9999</v>
      </c>
      <c r="Q75" s="120">
        <v>21</v>
      </c>
      <c r="R75" s="120">
        <v>17.5</v>
      </c>
      <c r="S75" s="148">
        <v>21.299999237060501</v>
      </c>
      <c r="T75" s="120">
        <v>-9999</v>
      </c>
      <c r="U75" s="120">
        <v>29</v>
      </c>
      <c r="V75" s="120">
        <v>-9999</v>
      </c>
      <c r="W75" s="120">
        <v>-9999</v>
      </c>
      <c r="X75" s="120">
        <v>-9999</v>
      </c>
      <c r="Y75" s="120">
        <v>-9999</v>
      </c>
      <c r="Z75" s="120">
        <v>-9999</v>
      </c>
      <c r="AA75" s="120">
        <v>68</v>
      </c>
      <c r="AB75" s="120">
        <v>14.5</v>
      </c>
      <c r="AC75" s="120">
        <v>74</v>
      </c>
      <c r="AD75" s="120">
        <v>1346</v>
      </c>
      <c r="AE75" s="120">
        <v>-9999</v>
      </c>
      <c r="AF75" s="120">
        <v>-9999</v>
      </c>
      <c r="AG75" s="120">
        <v>-9999</v>
      </c>
      <c r="AQ75" s="56">
        <v>6</v>
      </c>
      <c r="AR75" s="56">
        <v>110</v>
      </c>
      <c r="AS75" s="56">
        <v>10</v>
      </c>
      <c r="AT75" s="56" t="e">
        <f>AVERAGEIFS(Compressors!$S:$S,Compressors!$G:$G,AS75,Compressors!$I:$I,AR75,Compressors!$D:$D,AQ75)</f>
        <v>#DIV/0!</v>
      </c>
      <c r="AU75" s="53"/>
      <c r="BB75" s="121">
        <v>15</v>
      </c>
      <c r="BC75" s="121">
        <v>25.100000381469702</v>
      </c>
      <c r="BD75" s="125">
        <v>125</v>
      </c>
      <c r="BE75" s="121"/>
      <c r="BI75" s="121"/>
      <c r="BJ75" s="121"/>
      <c r="BK75" s="121"/>
      <c r="BL75" s="121"/>
      <c r="BM75" s="121"/>
      <c r="BO75" s="130">
        <v>40</v>
      </c>
      <c r="BP75" s="139">
        <v>110</v>
      </c>
      <c r="BQ75" s="143" t="s">
        <v>492</v>
      </c>
    </row>
    <row r="76" spans="1:69" x14ac:dyDescent="0.25">
      <c r="A76" s="120">
        <v>75</v>
      </c>
      <c r="B76" s="120" t="b">
        <v>0</v>
      </c>
      <c r="C76" s="120">
        <v>0</v>
      </c>
      <c r="D76" s="61">
        <v>1</v>
      </c>
      <c r="E76" s="120">
        <v>1</v>
      </c>
      <c r="F76" s="120" t="s">
        <v>169</v>
      </c>
      <c r="G76" s="55">
        <v>20</v>
      </c>
      <c r="H76" s="120">
        <v>82</v>
      </c>
      <c r="I76" s="57">
        <v>100</v>
      </c>
      <c r="J76" s="120">
        <v>110</v>
      </c>
      <c r="K76" s="120">
        <v>11</v>
      </c>
      <c r="L76" s="120">
        <v>60</v>
      </c>
      <c r="M76" s="120">
        <v>15</v>
      </c>
      <c r="N76" s="120">
        <v>40</v>
      </c>
      <c r="O76" s="120">
        <v>2</v>
      </c>
      <c r="P76" s="120">
        <v>25</v>
      </c>
      <c r="Q76" s="120">
        <v>21</v>
      </c>
      <c r="R76" s="120">
        <v>17.5</v>
      </c>
      <c r="S76" s="148">
        <v>21.299999237060501</v>
      </c>
      <c r="T76" s="120">
        <v>70</v>
      </c>
      <c r="U76" s="120">
        <v>29</v>
      </c>
      <c r="V76" s="120">
        <v>-9999</v>
      </c>
      <c r="W76" s="120">
        <v>-9999</v>
      </c>
      <c r="X76" s="120">
        <v>-9999</v>
      </c>
      <c r="Y76" s="120">
        <v>-9999</v>
      </c>
      <c r="Z76" s="120">
        <v>-9999</v>
      </c>
      <c r="AA76" s="120">
        <v>68</v>
      </c>
      <c r="AB76" s="120">
        <v>14.5</v>
      </c>
      <c r="AC76" s="120">
        <v>75</v>
      </c>
      <c r="AD76" s="120">
        <v>1347</v>
      </c>
      <c r="AE76" s="120">
        <v>-9999</v>
      </c>
      <c r="AF76" s="120">
        <v>-9999</v>
      </c>
      <c r="AG76" s="120">
        <v>-9999</v>
      </c>
      <c r="AQ76" s="56">
        <v>6</v>
      </c>
      <c r="AR76" s="56">
        <v>115</v>
      </c>
      <c r="AS76" s="56">
        <v>10</v>
      </c>
      <c r="AT76" s="56" t="e">
        <f>AVERAGEIFS(Compressors!$S:$S,Compressors!$G:$G,AS76,Compressors!$I:$I,AR76,Compressors!$D:$D,AQ76)</f>
        <v>#DIV/0!</v>
      </c>
      <c r="AU76" s="53"/>
      <c r="BB76" s="121">
        <v>15</v>
      </c>
      <c r="BC76" s="121">
        <v>25.100000381469702</v>
      </c>
      <c r="BD76" s="125">
        <v>125</v>
      </c>
      <c r="BE76" s="121"/>
      <c r="BI76" s="121"/>
      <c r="BJ76" s="121"/>
      <c r="BK76" s="121"/>
      <c r="BL76" s="121"/>
      <c r="BM76" s="121"/>
      <c r="BO76" s="131">
        <v>40</v>
      </c>
      <c r="BP76" s="139">
        <v>110</v>
      </c>
      <c r="BQ76" s="143" t="s">
        <v>363</v>
      </c>
    </row>
    <row r="77" spans="1:69" x14ac:dyDescent="0.25">
      <c r="A77" s="120">
        <v>76</v>
      </c>
      <c r="B77" s="120" t="b">
        <v>0</v>
      </c>
      <c r="C77" s="120">
        <v>0</v>
      </c>
      <c r="D77" s="61">
        <v>1</v>
      </c>
      <c r="E77" s="120">
        <v>1</v>
      </c>
      <c r="F77" s="120" t="s">
        <v>169</v>
      </c>
      <c r="G77" s="55">
        <v>20</v>
      </c>
      <c r="H77" s="120">
        <v>70</v>
      </c>
      <c r="I77" s="57">
        <v>125</v>
      </c>
      <c r="J77" s="120">
        <v>135</v>
      </c>
      <c r="K77" s="120">
        <v>1</v>
      </c>
      <c r="L77" s="120">
        <v>50</v>
      </c>
      <c r="M77" s="120">
        <v>15</v>
      </c>
      <c r="N77" s="120">
        <v>40</v>
      </c>
      <c r="O77" s="120">
        <v>2</v>
      </c>
      <c r="P77" s="120">
        <v>5</v>
      </c>
      <c r="Q77" s="120">
        <v>21</v>
      </c>
      <c r="R77" s="120">
        <v>17.5</v>
      </c>
      <c r="S77" s="148">
        <v>24.899999618530298</v>
      </c>
      <c r="T77" s="120">
        <v>65</v>
      </c>
      <c r="U77" s="120">
        <v>26</v>
      </c>
      <c r="V77" s="120">
        <v>-9999</v>
      </c>
      <c r="W77" s="120">
        <v>-9999</v>
      </c>
      <c r="X77" s="120">
        <v>-9999</v>
      </c>
      <c r="Y77" s="120">
        <v>-9999</v>
      </c>
      <c r="Z77" s="120">
        <v>-9999</v>
      </c>
      <c r="AA77" s="120">
        <v>68</v>
      </c>
      <c r="AB77" s="120">
        <v>14.5</v>
      </c>
      <c r="AC77" s="120">
        <v>76</v>
      </c>
      <c r="AD77" s="120">
        <v>1348</v>
      </c>
      <c r="AE77" s="120">
        <v>-9999</v>
      </c>
      <c r="AF77" s="120">
        <v>-9999</v>
      </c>
      <c r="AG77" s="120">
        <v>-9999</v>
      </c>
      <c r="AQ77" s="56">
        <v>6</v>
      </c>
      <c r="AR77" s="56">
        <v>125</v>
      </c>
      <c r="AS77" s="56">
        <v>10</v>
      </c>
      <c r="AT77" s="56" t="e">
        <f>AVERAGEIFS(Compressors!$S:$S,Compressors!$G:$G,AS77,Compressors!$I:$I,AR77,Compressors!$D:$D,AQ77)</f>
        <v>#DIV/0!</v>
      </c>
      <c r="AU77" s="53"/>
      <c r="BB77" s="121">
        <v>15</v>
      </c>
      <c r="BC77" s="121">
        <v>25.100000381469702</v>
      </c>
      <c r="BD77" s="125">
        <v>125</v>
      </c>
      <c r="BE77" s="121"/>
      <c r="BI77" s="121"/>
      <c r="BJ77" s="121"/>
      <c r="BK77" s="121"/>
      <c r="BL77" s="121"/>
      <c r="BM77" s="121"/>
      <c r="BO77" s="130">
        <v>40</v>
      </c>
      <c r="BP77" s="139">
        <v>115</v>
      </c>
      <c r="BQ77" s="142" t="s">
        <v>108</v>
      </c>
    </row>
    <row r="78" spans="1:69" x14ac:dyDescent="0.25">
      <c r="A78" s="120">
        <v>77</v>
      </c>
      <c r="B78" s="120" t="b">
        <v>0</v>
      </c>
      <c r="C78" s="120">
        <v>0</v>
      </c>
      <c r="D78" s="61">
        <v>1</v>
      </c>
      <c r="E78" s="120">
        <v>1</v>
      </c>
      <c r="F78" s="120" t="s">
        <v>169</v>
      </c>
      <c r="G78" s="55">
        <v>20</v>
      </c>
      <c r="H78" s="120">
        <v>74</v>
      </c>
      <c r="I78" s="57">
        <v>125</v>
      </c>
      <c r="J78" s="120">
        <v>125</v>
      </c>
      <c r="K78" s="120">
        <v>2</v>
      </c>
      <c r="L78" s="120">
        <v>50</v>
      </c>
      <c r="M78" s="120">
        <v>15</v>
      </c>
      <c r="N78" s="120">
        <v>40</v>
      </c>
      <c r="O78" s="120">
        <v>2</v>
      </c>
      <c r="P78" s="120">
        <v>20</v>
      </c>
      <c r="Q78" s="120">
        <v>22</v>
      </c>
      <c r="R78" s="120">
        <v>18.299999237060501</v>
      </c>
      <c r="S78" s="148">
        <v>24.899999618530298</v>
      </c>
      <c r="T78" s="120">
        <v>65</v>
      </c>
      <c r="U78" s="120">
        <v>26</v>
      </c>
      <c r="V78" s="120">
        <v>-9999</v>
      </c>
      <c r="W78" s="120">
        <v>-9999</v>
      </c>
      <c r="X78" s="120">
        <v>-9999</v>
      </c>
      <c r="Y78" s="120">
        <v>-9999</v>
      </c>
      <c r="Z78" s="120">
        <v>-9999</v>
      </c>
      <c r="AA78" s="120">
        <v>68</v>
      </c>
      <c r="AB78" s="120">
        <v>14.5</v>
      </c>
      <c r="AC78" s="120">
        <v>77</v>
      </c>
      <c r="AD78" s="120">
        <v>1349</v>
      </c>
      <c r="AE78" s="120">
        <v>-9999</v>
      </c>
      <c r="AF78" s="120">
        <v>-9999</v>
      </c>
      <c r="AG78" s="120">
        <v>-9999</v>
      </c>
      <c r="AQ78" s="57">
        <v>1</v>
      </c>
      <c r="AR78" s="57">
        <v>100</v>
      </c>
      <c r="AS78" s="57">
        <v>20</v>
      </c>
      <c r="AT78" s="57">
        <f>AVERAGEIFS(Compressors!$S:$S,Compressors!$G:$G,AS78,Compressors!$I:$I,AR78,Compressors!$D:$D,AQ78)</f>
        <v>21.299999237060501</v>
      </c>
      <c r="AU78" s="57">
        <v>21.3</v>
      </c>
      <c r="BB78" s="121">
        <v>20</v>
      </c>
      <c r="BC78" s="121">
        <v>21.299999237060501</v>
      </c>
      <c r="BD78" s="125">
        <v>100</v>
      </c>
      <c r="BE78" s="121"/>
      <c r="BI78" s="121"/>
      <c r="BJ78" s="121"/>
      <c r="BK78" s="121"/>
      <c r="BL78" s="121"/>
      <c r="BM78" s="121"/>
      <c r="BO78" s="130">
        <v>40</v>
      </c>
      <c r="BP78" s="139">
        <v>115</v>
      </c>
      <c r="BQ78" s="143" t="s">
        <v>491</v>
      </c>
    </row>
    <row r="79" spans="1:69" x14ac:dyDescent="0.25">
      <c r="A79" s="120">
        <v>78</v>
      </c>
      <c r="B79" s="120" t="b">
        <v>0</v>
      </c>
      <c r="C79" s="120">
        <v>0</v>
      </c>
      <c r="D79" s="61">
        <v>1</v>
      </c>
      <c r="E79" s="120">
        <v>1</v>
      </c>
      <c r="F79" s="120" t="s">
        <v>169</v>
      </c>
      <c r="G79" s="55">
        <v>20</v>
      </c>
      <c r="H79" s="120">
        <v>74</v>
      </c>
      <c r="I79" s="57">
        <v>125</v>
      </c>
      <c r="J79" s="120">
        <v>125</v>
      </c>
      <c r="K79" s="120">
        <v>3</v>
      </c>
      <c r="L79" s="120">
        <v>40</v>
      </c>
      <c r="M79" s="120">
        <v>15</v>
      </c>
      <c r="N79" s="120">
        <v>40</v>
      </c>
      <c r="O79" s="120">
        <v>2</v>
      </c>
      <c r="P79" s="120">
        <v>16.666999816894499</v>
      </c>
      <c r="Q79" s="120">
        <v>22</v>
      </c>
      <c r="R79" s="120">
        <v>18.299999237060501</v>
      </c>
      <c r="S79" s="148">
        <v>24.899999618530298</v>
      </c>
      <c r="T79" s="120">
        <v>57</v>
      </c>
      <c r="U79" s="120">
        <v>26</v>
      </c>
      <c r="V79" s="120">
        <v>-9999</v>
      </c>
      <c r="W79" s="120">
        <v>-9999</v>
      </c>
      <c r="X79" s="120">
        <v>-9999</v>
      </c>
      <c r="Y79" s="120">
        <v>-9999</v>
      </c>
      <c r="Z79" s="120">
        <v>-9999</v>
      </c>
      <c r="AA79" s="120">
        <v>68</v>
      </c>
      <c r="AB79" s="120">
        <v>14.5</v>
      </c>
      <c r="AC79" s="120">
        <v>78</v>
      </c>
      <c r="AD79" s="120">
        <v>1350</v>
      </c>
      <c r="AE79" s="120">
        <v>-9999</v>
      </c>
      <c r="AF79" s="120">
        <v>-9999</v>
      </c>
      <c r="AG79" s="120">
        <v>-9999</v>
      </c>
      <c r="AQ79" s="57">
        <v>1</v>
      </c>
      <c r="AR79" s="57">
        <v>110</v>
      </c>
      <c r="AS79" s="57">
        <v>20</v>
      </c>
      <c r="AT79" s="57" t="e">
        <f>AVERAGEIFS(Compressors!$S:$S,Compressors!$G:$G,AS79,Compressors!$I:$I,AR79,Compressors!$D:$D,AQ79)</f>
        <v>#DIV/0!</v>
      </c>
      <c r="AU79" s="64">
        <v>22.74</v>
      </c>
      <c r="BB79" s="121">
        <v>20</v>
      </c>
      <c r="BC79" s="121">
        <v>21.299999237060501</v>
      </c>
      <c r="BD79" s="125">
        <v>100</v>
      </c>
      <c r="BE79" s="121"/>
      <c r="BI79" s="121"/>
      <c r="BJ79" s="121"/>
      <c r="BK79" s="121"/>
      <c r="BL79" s="121"/>
      <c r="BM79" s="121"/>
      <c r="BO79" s="130">
        <v>40</v>
      </c>
      <c r="BP79" s="139">
        <v>125</v>
      </c>
      <c r="BQ79" s="142" t="s">
        <v>108</v>
      </c>
    </row>
    <row r="80" spans="1:69" x14ac:dyDescent="0.25">
      <c r="A80" s="120">
        <v>79</v>
      </c>
      <c r="B80" s="120" t="b">
        <v>0</v>
      </c>
      <c r="C80" s="120">
        <v>0</v>
      </c>
      <c r="D80" s="61">
        <v>1</v>
      </c>
      <c r="E80" s="120">
        <v>1</v>
      </c>
      <c r="F80" s="120" t="s">
        <v>169</v>
      </c>
      <c r="G80" s="55">
        <v>20</v>
      </c>
      <c r="H80" s="120">
        <v>70</v>
      </c>
      <c r="I80" s="57">
        <v>125</v>
      </c>
      <c r="J80" s="120">
        <v>135</v>
      </c>
      <c r="K80" s="120">
        <v>4</v>
      </c>
      <c r="L80" s="120">
        <v>100</v>
      </c>
      <c r="M80" s="120">
        <v>15</v>
      </c>
      <c r="N80" s="120">
        <v>40</v>
      </c>
      <c r="O80" s="120">
        <v>2</v>
      </c>
      <c r="P80" s="120">
        <v>-9999</v>
      </c>
      <c r="Q80" s="120">
        <v>21</v>
      </c>
      <c r="R80" s="120">
        <v>17.5</v>
      </c>
      <c r="S80" s="148">
        <v>24.899999618530298</v>
      </c>
      <c r="T80" s="120">
        <v>-9999</v>
      </c>
      <c r="U80" s="120">
        <v>26</v>
      </c>
      <c r="V80" s="120">
        <v>-9999</v>
      </c>
      <c r="W80" s="120">
        <v>-9999</v>
      </c>
      <c r="X80" s="120">
        <v>-9999</v>
      </c>
      <c r="Y80" s="120">
        <v>-9999</v>
      </c>
      <c r="Z80" s="120">
        <v>-9999</v>
      </c>
      <c r="AA80" s="120">
        <v>68</v>
      </c>
      <c r="AB80" s="120">
        <v>14.5</v>
      </c>
      <c r="AC80" s="120">
        <v>79</v>
      </c>
      <c r="AD80" s="120">
        <v>1351</v>
      </c>
      <c r="AE80" s="120">
        <v>-9999</v>
      </c>
      <c r="AF80" s="120">
        <v>-9999</v>
      </c>
      <c r="AG80" s="120">
        <v>-9999</v>
      </c>
      <c r="AQ80" s="57">
        <v>1</v>
      </c>
      <c r="AR80" s="57">
        <v>115</v>
      </c>
      <c r="AS80" s="57">
        <v>20</v>
      </c>
      <c r="AT80" s="57" t="e">
        <f>AVERAGEIFS(Compressors!$S:$S,Compressors!$G:$G,AS80,Compressors!$I:$I,AR80,Compressors!$D:$D,AQ80)</f>
        <v>#DIV/0!</v>
      </c>
      <c r="AU80" s="64">
        <v>23.46</v>
      </c>
      <c r="BB80" s="121">
        <v>20</v>
      </c>
      <c r="BC80" s="121">
        <v>21.299999237060501</v>
      </c>
      <c r="BD80" s="125">
        <v>100</v>
      </c>
      <c r="BE80" s="121"/>
      <c r="BI80" s="121"/>
      <c r="BJ80" s="121"/>
      <c r="BK80" s="121"/>
      <c r="BL80" s="121"/>
      <c r="BM80" s="121"/>
      <c r="BO80" s="131">
        <v>40</v>
      </c>
      <c r="BP80" s="139">
        <v>125</v>
      </c>
      <c r="BQ80" s="143" t="s">
        <v>491</v>
      </c>
    </row>
    <row r="81" spans="1:69" x14ac:dyDescent="0.25">
      <c r="A81" s="120">
        <v>80</v>
      </c>
      <c r="B81" s="120" t="b">
        <v>0</v>
      </c>
      <c r="C81" s="120">
        <v>0</v>
      </c>
      <c r="D81" s="61">
        <v>1</v>
      </c>
      <c r="E81" s="120">
        <v>1</v>
      </c>
      <c r="F81" s="120" t="s">
        <v>169</v>
      </c>
      <c r="G81" s="55">
        <v>20</v>
      </c>
      <c r="H81" s="120">
        <v>70</v>
      </c>
      <c r="I81" s="57">
        <v>125</v>
      </c>
      <c r="J81" s="120">
        <v>135</v>
      </c>
      <c r="K81" s="120">
        <v>11</v>
      </c>
      <c r="L81" s="120">
        <v>60</v>
      </c>
      <c r="M81" s="120">
        <v>15</v>
      </c>
      <c r="N81" s="120">
        <v>40</v>
      </c>
      <c r="O81" s="120">
        <v>2</v>
      </c>
      <c r="P81" s="120">
        <v>25</v>
      </c>
      <c r="Q81" s="120">
        <v>21</v>
      </c>
      <c r="R81" s="120">
        <v>17.5</v>
      </c>
      <c r="S81" s="148">
        <v>24.899999618530298</v>
      </c>
      <c r="T81" s="120">
        <v>70</v>
      </c>
      <c r="U81" s="120">
        <v>26</v>
      </c>
      <c r="V81" s="120">
        <v>-9999</v>
      </c>
      <c r="W81" s="120">
        <v>-9999</v>
      </c>
      <c r="X81" s="120">
        <v>-9999</v>
      </c>
      <c r="Y81" s="120">
        <v>-9999</v>
      </c>
      <c r="Z81" s="120">
        <v>-9999</v>
      </c>
      <c r="AA81" s="120">
        <v>68</v>
      </c>
      <c r="AB81" s="120">
        <v>14.5</v>
      </c>
      <c r="AC81" s="120">
        <v>80</v>
      </c>
      <c r="AD81" s="120">
        <v>1352</v>
      </c>
      <c r="AE81" s="120">
        <v>-9999</v>
      </c>
      <c r="AF81" s="120">
        <v>-9999</v>
      </c>
      <c r="AG81" s="120">
        <v>-9999</v>
      </c>
      <c r="AQ81" s="57">
        <v>1</v>
      </c>
      <c r="AR81" s="57">
        <v>125</v>
      </c>
      <c r="AS81" s="57">
        <v>20</v>
      </c>
      <c r="AT81" s="57">
        <f>AVERAGEIFS(Compressors!$S:$S,Compressors!$G:$G,AS81,Compressors!$I:$I,AR81,Compressors!$D:$D,AQ81)</f>
        <v>24.899999618530298</v>
      </c>
      <c r="AU81" s="57">
        <v>24.9</v>
      </c>
      <c r="BB81" s="121">
        <v>20</v>
      </c>
      <c r="BC81" s="121">
        <v>21.299999237060501</v>
      </c>
      <c r="BD81" s="125">
        <v>100</v>
      </c>
      <c r="BE81" s="121"/>
      <c r="BI81" s="121"/>
      <c r="BJ81" s="121"/>
      <c r="BK81" s="121"/>
      <c r="BL81" s="121"/>
      <c r="BM81" s="121"/>
      <c r="BO81" s="130">
        <v>40</v>
      </c>
      <c r="BP81" s="139">
        <v>125</v>
      </c>
      <c r="BQ81" s="143" t="s">
        <v>492</v>
      </c>
    </row>
    <row r="82" spans="1:69" x14ac:dyDescent="0.25">
      <c r="A82" s="120">
        <v>81</v>
      </c>
      <c r="B82" s="120" t="b">
        <v>0</v>
      </c>
      <c r="C82" s="120">
        <v>0</v>
      </c>
      <c r="D82" s="61">
        <v>1</v>
      </c>
      <c r="E82" s="120">
        <v>1</v>
      </c>
      <c r="F82" s="120" t="s">
        <v>169</v>
      </c>
      <c r="G82" s="55">
        <v>20</v>
      </c>
      <c r="H82" s="120">
        <v>60</v>
      </c>
      <c r="I82" s="57">
        <v>150</v>
      </c>
      <c r="J82" s="120">
        <v>160</v>
      </c>
      <c r="K82" s="120">
        <v>1</v>
      </c>
      <c r="L82" s="120">
        <v>50</v>
      </c>
      <c r="M82" s="120">
        <v>15</v>
      </c>
      <c r="N82" s="120">
        <v>40</v>
      </c>
      <c r="O82" s="120">
        <v>2</v>
      </c>
      <c r="P82" s="120">
        <v>5</v>
      </c>
      <c r="Q82" s="120">
        <v>21</v>
      </c>
      <c r="R82" s="120">
        <v>17.5</v>
      </c>
      <c r="S82" s="148">
        <v>29.100000381469702</v>
      </c>
      <c r="T82" s="120">
        <v>65</v>
      </c>
      <c r="U82" s="120">
        <v>25</v>
      </c>
      <c r="V82" s="120">
        <v>-9999</v>
      </c>
      <c r="W82" s="120">
        <v>-9999</v>
      </c>
      <c r="X82" s="120">
        <v>-9999</v>
      </c>
      <c r="Y82" s="120">
        <v>-9999</v>
      </c>
      <c r="Z82" s="120">
        <v>-9999</v>
      </c>
      <c r="AA82" s="120">
        <v>68</v>
      </c>
      <c r="AB82" s="120">
        <v>14.5</v>
      </c>
      <c r="AC82" s="120">
        <v>81</v>
      </c>
      <c r="AD82" s="120">
        <v>1353</v>
      </c>
      <c r="AE82" s="120">
        <v>-9999</v>
      </c>
      <c r="AF82" s="120">
        <v>-9999</v>
      </c>
      <c r="AG82" s="120">
        <v>-9999</v>
      </c>
      <c r="AQ82" s="57">
        <v>2</v>
      </c>
      <c r="AR82" s="57">
        <v>100</v>
      </c>
      <c r="AS82" s="57">
        <v>20</v>
      </c>
      <c r="AT82" s="57" t="e">
        <f>AVERAGEIFS(Compressors!$S:$S,Compressors!$G:$G,AS82,Compressors!$I:$I,AR82,Compressors!$D:$D,AQ82)</f>
        <v>#DIV/0!</v>
      </c>
      <c r="AU82" s="65">
        <f>AU78*0.9</f>
        <v>19.170000000000002</v>
      </c>
      <c r="BB82" s="121">
        <v>20</v>
      </c>
      <c r="BC82" s="121">
        <v>21.299999237060501</v>
      </c>
      <c r="BD82" s="125">
        <v>100</v>
      </c>
      <c r="BE82" s="121"/>
      <c r="BI82" s="121"/>
      <c r="BJ82" s="121"/>
      <c r="BK82" s="121"/>
      <c r="BL82" s="121"/>
      <c r="BM82" s="121"/>
      <c r="BO82" s="131">
        <v>40</v>
      </c>
      <c r="BP82" s="139">
        <v>125</v>
      </c>
      <c r="BQ82" s="143" t="s">
        <v>363</v>
      </c>
    </row>
    <row r="83" spans="1:69" x14ac:dyDescent="0.25">
      <c r="A83" s="120">
        <v>82</v>
      </c>
      <c r="B83" s="120" t="b">
        <v>0</v>
      </c>
      <c r="C83" s="120">
        <v>0</v>
      </c>
      <c r="D83" s="61">
        <v>1</v>
      </c>
      <c r="E83" s="120">
        <v>1</v>
      </c>
      <c r="F83" s="120" t="s">
        <v>169</v>
      </c>
      <c r="G83" s="55">
        <v>20</v>
      </c>
      <c r="H83" s="120">
        <v>63</v>
      </c>
      <c r="I83" s="57">
        <v>150</v>
      </c>
      <c r="J83" s="120">
        <v>150</v>
      </c>
      <c r="K83" s="120">
        <v>2</v>
      </c>
      <c r="L83" s="120">
        <v>50</v>
      </c>
      <c r="M83" s="120">
        <v>15</v>
      </c>
      <c r="N83" s="120">
        <v>40</v>
      </c>
      <c r="O83" s="120">
        <v>2</v>
      </c>
      <c r="P83" s="120">
        <v>20</v>
      </c>
      <c r="Q83" s="120">
        <v>22</v>
      </c>
      <c r="R83" s="120">
        <v>18.299999237060501</v>
      </c>
      <c r="S83" s="148">
        <v>29.100000381469702</v>
      </c>
      <c r="T83" s="120">
        <v>65</v>
      </c>
      <c r="U83" s="120">
        <v>25</v>
      </c>
      <c r="V83" s="120">
        <v>-9999</v>
      </c>
      <c r="W83" s="120">
        <v>-9999</v>
      </c>
      <c r="X83" s="120">
        <v>-9999</v>
      </c>
      <c r="Y83" s="120">
        <v>-9999</v>
      </c>
      <c r="Z83" s="120">
        <v>-9999</v>
      </c>
      <c r="AA83" s="120">
        <v>68</v>
      </c>
      <c r="AB83" s="120">
        <v>14.5</v>
      </c>
      <c r="AC83" s="120">
        <v>82</v>
      </c>
      <c r="AD83" s="120">
        <v>1354</v>
      </c>
      <c r="AE83" s="120">
        <v>-9999</v>
      </c>
      <c r="AF83" s="120">
        <v>-9999</v>
      </c>
      <c r="AG83" s="120">
        <v>-9999</v>
      </c>
      <c r="AQ83" s="57">
        <v>2</v>
      </c>
      <c r="AR83" s="57">
        <v>110</v>
      </c>
      <c r="AS83" s="57">
        <v>20</v>
      </c>
      <c r="AT83" s="57" t="e">
        <f>AVERAGEIFS(Compressors!$S:$S,Compressors!$G:$G,AS83,Compressors!$I:$I,AR83,Compressors!$D:$D,AQ83)</f>
        <v>#DIV/0!</v>
      </c>
      <c r="AU83" s="65">
        <f>AU79*0.9</f>
        <v>20.465999999999998</v>
      </c>
      <c r="BB83" s="121">
        <v>20</v>
      </c>
      <c r="BC83" s="121">
        <v>24.899999618530298</v>
      </c>
      <c r="BD83" s="125">
        <v>125</v>
      </c>
      <c r="BE83" s="121"/>
      <c r="BI83" s="121"/>
      <c r="BJ83" s="121"/>
      <c r="BK83" s="121"/>
      <c r="BL83" s="121"/>
      <c r="BM83" s="121"/>
      <c r="BO83" s="130">
        <v>50</v>
      </c>
      <c r="BP83" s="139">
        <v>100</v>
      </c>
      <c r="BQ83" s="142" t="s">
        <v>108</v>
      </c>
    </row>
    <row r="84" spans="1:69" x14ac:dyDescent="0.25">
      <c r="A84" s="120">
        <v>83</v>
      </c>
      <c r="B84" s="120" t="b">
        <v>0</v>
      </c>
      <c r="C84" s="120">
        <v>0</v>
      </c>
      <c r="D84" s="61">
        <v>1</v>
      </c>
      <c r="E84" s="120">
        <v>1</v>
      </c>
      <c r="F84" s="120" t="s">
        <v>169</v>
      </c>
      <c r="G84" s="55">
        <v>20</v>
      </c>
      <c r="H84" s="120">
        <v>63</v>
      </c>
      <c r="I84" s="57">
        <v>150</v>
      </c>
      <c r="J84" s="120">
        <v>150</v>
      </c>
      <c r="K84" s="120">
        <v>3</v>
      </c>
      <c r="L84" s="120">
        <v>40</v>
      </c>
      <c r="M84" s="120">
        <v>15</v>
      </c>
      <c r="N84" s="120">
        <v>40</v>
      </c>
      <c r="O84" s="120">
        <v>2</v>
      </c>
      <c r="P84" s="120">
        <v>16.666999816894499</v>
      </c>
      <c r="Q84" s="120">
        <v>22</v>
      </c>
      <c r="R84" s="120">
        <v>18.299999237060501</v>
      </c>
      <c r="S84" s="148">
        <v>29.100000381469702</v>
      </c>
      <c r="T84" s="120">
        <v>57</v>
      </c>
      <c r="U84" s="120">
        <v>25</v>
      </c>
      <c r="V84" s="120">
        <v>-9999</v>
      </c>
      <c r="W84" s="120">
        <v>-9999</v>
      </c>
      <c r="X84" s="120">
        <v>-9999</v>
      </c>
      <c r="Y84" s="120">
        <v>-9999</v>
      </c>
      <c r="Z84" s="120">
        <v>-9999</v>
      </c>
      <c r="AA84" s="120">
        <v>68</v>
      </c>
      <c r="AB84" s="120">
        <v>14.5</v>
      </c>
      <c r="AC84" s="120">
        <v>83</v>
      </c>
      <c r="AD84" s="120">
        <v>1355</v>
      </c>
      <c r="AE84" s="120">
        <v>-9999</v>
      </c>
      <c r="AF84" s="120">
        <v>-9999</v>
      </c>
      <c r="AG84" s="120">
        <v>-9999</v>
      </c>
      <c r="AQ84" s="57">
        <v>2</v>
      </c>
      <c r="AR84" s="57">
        <v>115</v>
      </c>
      <c r="AS84" s="57">
        <v>20</v>
      </c>
      <c r="AT84" s="57" t="e">
        <f>AVERAGEIFS(Compressors!$S:$S,Compressors!$G:$G,AS84,Compressors!$I:$I,AR84,Compressors!$D:$D,AQ84)</f>
        <v>#DIV/0!</v>
      </c>
      <c r="AU84" s="65">
        <f>AU80*0.9</f>
        <v>21.114000000000001</v>
      </c>
      <c r="BB84" s="121">
        <v>20</v>
      </c>
      <c r="BC84" s="121">
        <v>24.899999618530298</v>
      </c>
      <c r="BD84" s="125">
        <v>125</v>
      </c>
      <c r="BE84" s="121"/>
      <c r="BI84" s="121"/>
      <c r="BJ84" s="121"/>
      <c r="BK84" s="121"/>
      <c r="BL84" s="121"/>
      <c r="BM84" s="121"/>
      <c r="BO84" s="131">
        <v>50</v>
      </c>
      <c r="BP84" s="139">
        <v>100</v>
      </c>
      <c r="BQ84" s="143" t="s">
        <v>491</v>
      </c>
    </row>
    <row r="85" spans="1:69" x14ac:dyDescent="0.25">
      <c r="A85" s="120">
        <v>84</v>
      </c>
      <c r="B85" s="120" t="b">
        <v>0</v>
      </c>
      <c r="C85" s="120">
        <v>0</v>
      </c>
      <c r="D85" s="61">
        <v>1</v>
      </c>
      <c r="E85" s="120">
        <v>1</v>
      </c>
      <c r="F85" s="120" t="s">
        <v>169</v>
      </c>
      <c r="G85" s="55">
        <v>20</v>
      </c>
      <c r="H85" s="120">
        <v>60</v>
      </c>
      <c r="I85" s="57">
        <v>150</v>
      </c>
      <c r="J85" s="120">
        <v>160</v>
      </c>
      <c r="K85" s="120">
        <v>4</v>
      </c>
      <c r="L85" s="120">
        <v>100</v>
      </c>
      <c r="M85" s="120">
        <v>15</v>
      </c>
      <c r="N85" s="120">
        <v>40</v>
      </c>
      <c r="O85" s="120">
        <v>2</v>
      </c>
      <c r="P85" s="120">
        <v>-9999</v>
      </c>
      <c r="Q85" s="120">
        <v>21</v>
      </c>
      <c r="R85" s="120">
        <v>17.5</v>
      </c>
      <c r="S85" s="148">
        <v>29.100000381469702</v>
      </c>
      <c r="T85" s="120">
        <v>-9999</v>
      </c>
      <c r="U85" s="120">
        <v>25</v>
      </c>
      <c r="V85" s="120">
        <v>-9999</v>
      </c>
      <c r="W85" s="120">
        <v>-9999</v>
      </c>
      <c r="X85" s="120">
        <v>-9999</v>
      </c>
      <c r="Y85" s="120">
        <v>-9999</v>
      </c>
      <c r="Z85" s="120">
        <v>-9999</v>
      </c>
      <c r="AA85" s="120">
        <v>68</v>
      </c>
      <c r="AB85" s="120">
        <v>14.5</v>
      </c>
      <c r="AC85" s="120">
        <v>84</v>
      </c>
      <c r="AD85" s="120">
        <v>1356</v>
      </c>
      <c r="AE85" s="120">
        <v>-9999</v>
      </c>
      <c r="AF85" s="120">
        <v>-9999</v>
      </c>
      <c r="AG85" s="120">
        <v>-9999</v>
      </c>
      <c r="AQ85" s="57">
        <v>2</v>
      </c>
      <c r="AR85" s="57">
        <v>125</v>
      </c>
      <c r="AS85" s="57">
        <v>20</v>
      </c>
      <c r="AT85" s="57" t="e">
        <f>AVERAGEIFS(Compressors!$S:$S,Compressors!$G:$G,AS85,Compressors!$I:$I,AR85,Compressors!$D:$D,AQ85)</f>
        <v>#DIV/0!</v>
      </c>
      <c r="AU85" s="65">
        <f>AU81*0.9</f>
        <v>22.41</v>
      </c>
      <c r="BB85" s="121">
        <v>20</v>
      </c>
      <c r="BC85" s="121">
        <v>24.899999618530298</v>
      </c>
      <c r="BD85" s="125">
        <v>125</v>
      </c>
      <c r="BE85" s="121"/>
      <c r="BI85" s="121"/>
      <c r="BJ85" s="121"/>
      <c r="BK85" s="121"/>
      <c r="BL85" s="121"/>
      <c r="BM85" s="121"/>
      <c r="BO85" s="131">
        <v>50</v>
      </c>
      <c r="BP85" s="139">
        <v>100</v>
      </c>
      <c r="BQ85" s="143" t="s">
        <v>492</v>
      </c>
    </row>
    <row r="86" spans="1:69" x14ac:dyDescent="0.25">
      <c r="A86" s="120">
        <v>85</v>
      </c>
      <c r="B86" s="120" t="b">
        <v>0</v>
      </c>
      <c r="C86" s="120">
        <v>0</v>
      </c>
      <c r="D86" s="61">
        <v>1</v>
      </c>
      <c r="E86" s="120">
        <v>1</v>
      </c>
      <c r="F86" s="120" t="s">
        <v>169</v>
      </c>
      <c r="G86" s="55">
        <v>20</v>
      </c>
      <c r="H86" s="120">
        <v>60</v>
      </c>
      <c r="I86" s="57">
        <v>150</v>
      </c>
      <c r="J86" s="120">
        <v>160</v>
      </c>
      <c r="K86" s="120">
        <v>11</v>
      </c>
      <c r="L86" s="120">
        <v>60</v>
      </c>
      <c r="M86" s="120">
        <v>15</v>
      </c>
      <c r="N86" s="120">
        <v>40</v>
      </c>
      <c r="O86" s="120">
        <v>2</v>
      </c>
      <c r="P86" s="120">
        <v>25</v>
      </c>
      <c r="Q86" s="120">
        <v>21</v>
      </c>
      <c r="R86" s="120">
        <v>17.5</v>
      </c>
      <c r="S86" s="148">
        <v>29.100000381469702</v>
      </c>
      <c r="T86" s="120">
        <v>70</v>
      </c>
      <c r="U86" s="120">
        <v>25</v>
      </c>
      <c r="V86" s="120">
        <v>-9999</v>
      </c>
      <c r="W86" s="120">
        <v>-9999</v>
      </c>
      <c r="X86" s="120">
        <v>-9999</v>
      </c>
      <c r="Y86" s="120">
        <v>-9999</v>
      </c>
      <c r="Z86" s="120">
        <v>-9999</v>
      </c>
      <c r="AA86" s="120">
        <v>68</v>
      </c>
      <c r="AB86" s="120">
        <v>14.5</v>
      </c>
      <c r="AC86" s="120">
        <v>85</v>
      </c>
      <c r="AD86" s="120">
        <v>1357</v>
      </c>
      <c r="AE86" s="120">
        <v>-9999</v>
      </c>
      <c r="AF86" s="120">
        <v>-9999</v>
      </c>
      <c r="AG86" s="120">
        <v>-9999</v>
      </c>
      <c r="AQ86" s="57">
        <v>4</v>
      </c>
      <c r="AR86" s="57">
        <v>100</v>
      </c>
      <c r="AS86" s="57">
        <v>20</v>
      </c>
      <c r="AT86" s="57">
        <f>AVERAGEIFS(Compressors!$S:$S,Compressors!$G:$G,AS86,Compressors!$I:$I,AR86,Compressors!$D:$D,AQ86)</f>
        <v>20.799999237060501</v>
      </c>
      <c r="AU86" s="57">
        <v>20.799999237060501</v>
      </c>
      <c r="BB86" s="121">
        <v>20</v>
      </c>
      <c r="BC86" s="121">
        <v>24.899999618530298</v>
      </c>
      <c r="BD86" s="125">
        <v>125</v>
      </c>
      <c r="BE86" s="121"/>
      <c r="BI86" s="121"/>
      <c r="BJ86" s="121"/>
      <c r="BK86" s="121"/>
      <c r="BL86" s="121"/>
      <c r="BM86" s="121"/>
      <c r="BO86" s="131">
        <v>50</v>
      </c>
      <c r="BP86" s="139">
        <v>100</v>
      </c>
      <c r="BQ86" s="143" t="s">
        <v>363</v>
      </c>
    </row>
    <row r="87" spans="1:69" x14ac:dyDescent="0.25">
      <c r="A87" s="120">
        <v>86</v>
      </c>
      <c r="B87" s="120" t="b">
        <v>0</v>
      </c>
      <c r="C87" s="120">
        <v>0</v>
      </c>
      <c r="D87" s="61">
        <v>1</v>
      </c>
      <c r="E87" s="120">
        <v>1</v>
      </c>
      <c r="F87" s="120" t="s">
        <v>169</v>
      </c>
      <c r="G87" s="55">
        <v>20</v>
      </c>
      <c r="H87" s="120">
        <v>62</v>
      </c>
      <c r="I87" s="57">
        <v>175</v>
      </c>
      <c r="J87" s="120">
        <v>185</v>
      </c>
      <c r="K87" s="120">
        <v>1</v>
      </c>
      <c r="L87" s="120">
        <v>50</v>
      </c>
      <c r="M87" s="120">
        <v>15</v>
      </c>
      <c r="N87" s="120">
        <v>40</v>
      </c>
      <c r="O87" s="120">
        <v>2</v>
      </c>
      <c r="P87" s="120">
        <v>5</v>
      </c>
      <c r="Q87" s="120">
        <v>21</v>
      </c>
      <c r="R87" s="120">
        <v>17.5</v>
      </c>
      <c r="S87" s="148">
        <v>28.100000381469702</v>
      </c>
      <c r="T87" s="120">
        <v>65</v>
      </c>
      <c r="U87" s="120">
        <v>21</v>
      </c>
      <c r="V87" s="120">
        <v>-9999</v>
      </c>
      <c r="W87" s="120">
        <v>-9999</v>
      </c>
      <c r="X87" s="120">
        <v>-9999</v>
      </c>
      <c r="Y87" s="120">
        <v>-9999</v>
      </c>
      <c r="Z87" s="120">
        <v>-9999</v>
      </c>
      <c r="AA87" s="120">
        <v>68</v>
      </c>
      <c r="AB87" s="120">
        <v>14.5</v>
      </c>
      <c r="AC87" s="120">
        <v>86</v>
      </c>
      <c r="AD87" s="120">
        <v>1358</v>
      </c>
      <c r="AE87" s="120">
        <v>-9999</v>
      </c>
      <c r="AF87" s="120">
        <v>-9999</v>
      </c>
      <c r="AG87" s="120">
        <v>-9999</v>
      </c>
      <c r="AQ87" s="57">
        <v>4</v>
      </c>
      <c r="AR87" s="57">
        <v>110</v>
      </c>
      <c r="AS87" s="57">
        <v>20</v>
      </c>
      <c r="AT87" s="57">
        <f>AVERAGEIFS(Compressors!$S:$S,Compressors!$G:$G,AS87,Compressors!$I:$I,AR87,Compressors!$D:$D,AQ87)</f>
        <v>22.299999237060501</v>
      </c>
      <c r="AU87" s="57">
        <v>22.299999237060501</v>
      </c>
      <c r="BB87" s="121">
        <v>20</v>
      </c>
      <c r="BC87" s="121">
        <v>24.899999618530298</v>
      </c>
      <c r="BD87" s="125">
        <v>125</v>
      </c>
      <c r="BE87" s="121"/>
      <c r="BI87" s="121"/>
      <c r="BJ87" s="121"/>
      <c r="BK87" s="121"/>
      <c r="BL87" s="121"/>
      <c r="BM87" s="121"/>
      <c r="BO87" s="130">
        <v>50</v>
      </c>
      <c r="BP87" s="139">
        <v>110</v>
      </c>
      <c r="BQ87" s="142" t="s">
        <v>108</v>
      </c>
    </row>
    <row r="88" spans="1:69" x14ac:dyDescent="0.25">
      <c r="A88" s="120">
        <v>87</v>
      </c>
      <c r="B88" s="120" t="b">
        <v>0</v>
      </c>
      <c r="C88" s="120">
        <v>0</v>
      </c>
      <c r="D88" s="61">
        <v>1</v>
      </c>
      <c r="E88" s="120">
        <v>1</v>
      </c>
      <c r="F88" s="120" t="s">
        <v>169</v>
      </c>
      <c r="G88" s="55">
        <v>20</v>
      </c>
      <c r="H88" s="120">
        <v>65</v>
      </c>
      <c r="I88" s="57">
        <v>175</v>
      </c>
      <c r="J88" s="120">
        <v>175</v>
      </c>
      <c r="K88" s="120">
        <v>2</v>
      </c>
      <c r="L88" s="120">
        <v>50</v>
      </c>
      <c r="M88" s="120">
        <v>15</v>
      </c>
      <c r="N88" s="120">
        <v>40</v>
      </c>
      <c r="O88" s="120">
        <v>2</v>
      </c>
      <c r="P88" s="120">
        <v>20</v>
      </c>
      <c r="Q88" s="120">
        <v>22</v>
      </c>
      <c r="R88" s="120">
        <v>18.299999237060501</v>
      </c>
      <c r="S88" s="148">
        <v>28.100000381469702</v>
      </c>
      <c r="T88" s="120">
        <v>65</v>
      </c>
      <c r="U88" s="120">
        <v>21</v>
      </c>
      <c r="V88" s="120">
        <v>-9999</v>
      </c>
      <c r="W88" s="120">
        <v>-9999</v>
      </c>
      <c r="X88" s="120">
        <v>-9999</v>
      </c>
      <c r="Y88" s="120">
        <v>-9999</v>
      </c>
      <c r="Z88" s="120">
        <v>-9999</v>
      </c>
      <c r="AA88" s="120">
        <v>68</v>
      </c>
      <c r="AB88" s="120">
        <v>14.5</v>
      </c>
      <c r="AC88" s="120">
        <v>87</v>
      </c>
      <c r="AD88" s="120">
        <v>1359</v>
      </c>
      <c r="AE88" s="120">
        <v>-9999</v>
      </c>
      <c r="AF88" s="120">
        <v>-9999</v>
      </c>
      <c r="AG88" s="120">
        <v>-9999</v>
      </c>
      <c r="AQ88" s="57">
        <v>4</v>
      </c>
      <c r="AR88" s="57">
        <v>115</v>
      </c>
      <c r="AS88" s="57">
        <v>20</v>
      </c>
      <c r="AT88" s="57" t="e">
        <f>AVERAGEIFS(Compressors!$S:$S,Compressors!$G:$G,AS88,Compressors!$I:$I,AR88,Compressors!$D:$D,AQ88)</f>
        <v>#DIV/0!</v>
      </c>
      <c r="AU88">
        <f>AU86+AV89*15</f>
        <v>22.899999237060502</v>
      </c>
      <c r="BB88" s="121">
        <v>25</v>
      </c>
      <c r="BC88" s="121">
        <v>21.299999237060501</v>
      </c>
      <c r="BD88" s="125">
        <v>100</v>
      </c>
      <c r="BE88" s="121"/>
      <c r="BI88" s="121"/>
      <c r="BJ88" s="121"/>
      <c r="BK88" s="121"/>
      <c r="BL88" s="121"/>
      <c r="BM88" s="121"/>
      <c r="BO88" s="131">
        <v>50</v>
      </c>
      <c r="BP88" s="139">
        <v>110</v>
      </c>
      <c r="BQ88" s="143" t="s">
        <v>491</v>
      </c>
    </row>
    <row r="89" spans="1:69" x14ac:dyDescent="0.25">
      <c r="A89" s="120">
        <v>88</v>
      </c>
      <c r="B89" s="120" t="b">
        <v>0</v>
      </c>
      <c r="C89" s="120">
        <v>0</v>
      </c>
      <c r="D89" s="61">
        <v>1</v>
      </c>
      <c r="E89" s="120">
        <v>1</v>
      </c>
      <c r="F89" s="120" t="s">
        <v>169</v>
      </c>
      <c r="G89" s="55">
        <v>20</v>
      </c>
      <c r="H89" s="120">
        <v>65</v>
      </c>
      <c r="I89" s="57">
        <v>175</v>
      </c>
      <c r="J89" s="120">
        <v>175</v>
      </c>
      <c r="K89" s="120">
        <v>3</v>
      </c>
      <c r="L89" s="120">
        <v>40</v>
      </c>
      <c r="M89" s="120">
        <v>15</v>
      </c>
      <c r="N89" s="120">
        <v>40</v>
      </c>
      <c r="O89" s="120">
        <v>2</v>
      </c>
      <c r="P89" s="120">
        <v>16.666999816894499</v>
      </c>
      <c r="Q89" s="120">
        <v>22</v>
      </c>
      <c r="R89" s="120">
        <v>18.299999237060501</v>
      </c>
      <c r="S89" s="148">
        <v>28.100000381469702</v>
      </c>
      <c r="T89" s="120">
        <v>57</v>
      </c>
      <c r="U89" s="120">
        <v>21</v>
      </c>
      <c r="V89" s="120">
        <v>-9999</v>
      </c>
      <c r="W89" s="120">
        <v>-9999</v>
      </c>
      <c r="X89" s="120">
        <v>-9999</v>
      </c>
      <c r="Y89" s="120">
        <v>-9999</v>
      </c>
      <c r="Z89" s="120">
        <v>-9999</v>
      </c>
      <c r="AA89" s="120">
        <v>68</v>
      </c>
      <c r="AB89" s="120">
        <v>14.5</v>
      </c>
      <c r="AC89" s="120">
        <v>88</v>
      </c>
      <c r="AD89" s="120">
        <v>1360</v>
      </c>
      <c r="AE89" s="120">
        <v>-9999</v>
      </c>
      <c r="AF89" s="120">
        <v>-9999</v>
      </c>
      <c r="AG89" s="120">
        <v>-9999</v>
      </c>
      <c r="AQ89" s="57">
        <v>4</v>
      </c>
      <c r="AR89" s="57">
        <v>125</v>
      </c>
      <c r="AS89" s="57">
        <v>20</v>
      </c>
      <c r="AT89" s="57">
        <f>AVERAGEIFS(Compressors!$S:$S,Compressors!$G:$G,AS89,Compressors!$I:$I,AR89,Compressors!$D:$D,AQ89)</f>
        <v>24.299999237060501</v>
      </c>
      <c r="AU89" s="57">
        <v>24.299999237060501</v>
      </c>
      <c r="AV89">
        <f>(AU89-AU86)/25</f>
        <v>0.14000000000000001</v>
      </c>
      <c r="BB89" s="121">
        <v>25</v>
      </c>
      <c r="BC89" s="121">
        <v>21.299999237060501</v>
      </c>
      <c r="BD89" s="125">
        <v>100</v>
      </c>
      <c r="BE89" s="121"/>
      <c r="BI89" s="121"/>
      <c r="BJ89" s="121"/>
      <c r="BK89" s="121"/>
      <c r="BL89" s="121"/>
      <c r="BM89" s="121"/>
      <c r="BO89" s="131">
        <v>50</v>
      </c>
      <c r="BP89" s="139">
        <v>110</v>
      </c>
      <c r="BQ89" s="143" t="s">
        <v>492</v>
      </c>
    </row>
    <row r="90" spans="1:69" x14ac:dyDescent="0.25">
      <c r="A90" s="120">
        <v>89</v>
      </c>
      <c r="B90" s="120" t="b">
        <v>0</v>
      </c>
      <c r="C90" s="120">
        <v>0</v>
      </c>
      <c r="D90" s="61">
        <v>1</v>
      </c>
      <c r="E90" s="120">
        <v>1</v>
      </c>
      <c r="F90" s="120" t="s">
        <v>169</v>
      </c>
      <c r="G90" s="55">
        <v>20</v>
      </c>
      <c r="H90" s="120">
        <v>62</v>
      </c>
      <c r="I90" s="57">
        <v>175</v>
      </c>
      <c r="J90" s="120">
        <v>185</v>
      </c>
      <c r="K90" s="120">
        <v>4</v>
      </c>
      <c r="L90" s="120">
        <v>100</v>
      </c>
      <c r="M90" s="120">
        <v>15</v>
      </c>
      <c r="N90" s="120">
        <v>40</v>
      </c>
      <c r="O90" s="120">
        <v>2</v>
      </c>
      <c r="P90" s="120">
        <v>-9999</v>
      </c>
      <c r="Q90" s="120">
        <v>21</v>
      </c>
      <c r="R90" s="120">
        <v>17.5</v>
      </c>
      <c r="S90" s="148">
        <v>28.100000381469702</v>
      </c>
      <c r="T90" s="120">
        <v>-9999</v>
      </c>
      <c r="U90" s="120">
        <v>21</v>
      </c>
      <c r="V90" s="120">
        <v>-9999</v>
      </c>
      <c r="W90" s="120">
        <v>-9999</v>
      </c>
      <c r="X90" s="120">
        <v>-9999</v>
      </c>
      <c r="Y90" s="120">
        <v>-9999</v>
      </c>
      <c r="Z90" s="120">
        <v>-9999</v>
      </c>
      <c r="AA90" s="120">
        <v>68</v>
      </c>
      <c r="AB90" s="120">
        <v>14.5</v>
      </c>
      <c r="AC90" s="120">
        <v>89</v>
      </c>
      <c r="AD90" s="120">
        <v>1361</v>
      </c>
      <c r="AE90" s="120">
        <v>-9999</v>
      </c>
      <c r="AF90" s="120">
        <v>-9999</v>
      </c>
      <c r="AG90" s="120">
        <v>-9999</v>
      </c>
      <c r="AQ90" s="57">
        <v>5</v>
      </c>
      <c r="AR90" s="57">
        <v>100</v>
      </c>
      <c r="AS90" s="57">
        <v>20</v>
      </c>
      <c r="AT90" s="57">
        <f>AVERAGEIFS(Compressors!$S:$S,Compressors!$G:$G,AS90,Compressors!$I:$I,AR90,Compressors!$D:$D,AQ90)</f>
        <v>17.200000762939499</v>
      </c>
      <c r="AU90" s="57">
        <v>17.200000762939499</v>
      </c>
      <c r="BB90" s="121">
        <v>25</v>
      </c>
      <c r="BC90" s="121">
        <v>21.299999237060501</v>
      </c>
      <c r="BD90" s="125">
        <v>100</v>
      </c>
      <c r="BE90" s="121"/>
      <c r="BI90" s="121"/>
      <c r="BJ90" s="121"/>
      <c r="BK90" s="121"/>
      <c r="BL90" s="121"/>
      <c r="BM90" s="121"/>
      <c r="BO90" s="131">
        <v>50</v>
      </c>
      <c r="BP90" s="139">
        <v>110</v>
      </c>
      <c r="BQ90" s="143" t="s">
        <v>363</v>
      </c>
    </row>
    <row r="91" spans="1:69" x14ac:dyDescent="0.25">
      <c r="A91" s="120">
        <v>90</v>
      </c>
      <c r="B91" s="120" t="b">
        <v>0</v>
      </c>
      <c r="C91" s="120">
        <v>0</v>
      </c>
      <c r="D91" s="61">
        <v>1</v>
      </c>
      <c r="E91" s="120">
        <v>1</v>
      </c>
      <c r="F91" s="120" t="s">
        <v>169</v>
      </c>
      <c r="G91" s="55">
        <v>20</v>
      </c>
      <c r="H91" s="120">
        <v>62</v>
      </c>
      <c r="I91" s="57">
        <v>175</v>
      </c>
      <c r="J91" s="120">
        <v>185</v>
      </c>
      <c r="K91" s="120">
        <v>11</v>
      </c>
      <c r="L91" s="120">
        <v>60</v>
      </c>
      <c r="M91" s="120">
        <v>15</v>
      </c>
      <c r="N91" s="120">
        <v>40</v>
      </c>
      <c r="O91" s="120">
        <v>2</v>
      </c>
      <c r="P91" s="120">
        <v>25</v>
      </c>
      <c r="Q91" s="120">
        <v>21</v>
      </c>
      <c r="R91" s="120">
        <v>17.5</v>
      </c>
      <c r="S91" s="148">
        <v>28.100000381469702</v>
      </c>
      <c r="T91" s="120">
        <v>70</v>
      </c>
      <c r="U91" s="120">
        <v>21</v>
      </c>
      <c r="V91" s="120">
        <v>-9999</v>
      </c>
      <c r="W91" s="120">
        <v>-9999</v>
      </c>
      <c r="X91" s="120">
        <v>-9999</v>
      </c>
      <c r="Y91" s="120">
        <v>-9999</v>
      </c>
      <c r="Z91" s="120">
        <v>-9999</v>
      </c>
      <c r="AA91" s="120">
        <v>68</v>
      </c>
      <c r="AB91" s="120">
        <v>14.5</v>
      </c>
      <c r="AC91" s="120">
        <v>90</v>
      </c>
      <c r="AD91" s="120">
        <v>1362</v>
      </c>
      <c r="AE91" s="120">
        <v>-9999</v>
      </c>
      <c r="AF91" s="120">
        <v>-9999</v>
      </c>
      <c r="AG91" s="120">
        <v>-9999</v>
      </c>
      <c r="AQ91" s="57">
        <v>5</v>
      </c>
      <c r="AR91" s="57">
        <v>110</v>
      </c>
      <c r="AS91" s="57">
        <v>20</v>
      </c>
      <c r="AT91" s="57">
        <f>AVERAGEIFS(Compressors!$S:$S,Compressors!$G:$G,AS91,Compressors!$I:$I,AR91,Compressors!$D:$D,AQ91)</f>
        <v>18</v>
      </c>
      <c r="AU91" s="57">
        <v>18</v>
      </c>
      <c r="BB91" s="121">
        <v>25</v>
      </c>
      <c r="BC91" s="121">
        <v>21.299999237060501</v>
      </c>
      <c r="BD91" s="125">
        <v>100</v>
      </c>
      <c r="BE91" s="121"/>
      <c r="BI91" s="121"/>
      <c r="BJ91" s="121"/>
      <c r="BK91" s="121"/>
      <c r="BL91" s="121"/>
      <c r="BM91" s="121"/>
      <c r="BO91" s="130">
        <v>50</v>
      </c>
      <c r="BP91" s="139">
        <v>115</v>
      </c>
      <c r="BQ91" s="142" t="s">
        <v>108</v>
      </c>
    </row>
    <row r="92" spans="1:69" x14ac:dyDescent="0.25">
      <c r="A92" s="120">
        <v>91</v>
      </c>
      <c r="B92" s="120" t="b">
        <v>0</v>
      </c>
      <c r="C92" s="120">
        <v>0</v>
      </c>
      <c r="D92" s="61">
        <v>1</v>
      </c>
      <c r="E92" s="120">
        <v>1</v>
      </c>
      <c r="F92" s="120" t="s">
        <v>170</v>
      </c>
      <c r="G92" s="55">
        <v>25</v>
      </c>
      <c r="H92" s="120">
        <v>102</v>
      </c>
      <c r="I92" s="57">
        <v>100</v>
      </c>
      <c r="J92" s="120">
        <v>110</v>
      </c>
      <c r="K92" s="120">
        <v>1</v>
      </c>
      <c r="L92" s="120">
        <v>50</v>
      </c>
      <c r="M92" s="120">
        <v>15</v>
      </c>
      <c r="N92" s="120">
        <v>40</v>
      </c>
      <c r="O92" s="120">
        <v>2</v>
      </c>
      <c r="P92" s="120">
        <v>5</v>
      </c>
      <c r="Q92" s="120">
        <v>26.299999237060501</v>
      </c>
      <c r="R92" s="120">
        <v>21.700000762939499</v>
      </c>
      <c r="S92" s="148">
        <v>21.299999237060501</v>
      </c>
      <c r="T92" s="120">
        <v>65</v>
      </c>
      <c r="U92" s="120">
        <v>28</v>
      </c>
      <c r="V92" s="120">
        <v>-9999</v>
      </c>
      <c r="W92" s="120">
        <v>-9999</v>
      </c>
      <c r="X92" s="120">
        <v>-9999</v>
      </c>
      <c r="Y92" s="120">
        <v>-9999</v>
      </c>
      <c r="Z92" s="120">
        <v>-9999</v>
      </c>
      <c r="AA92" s="120">
        <v>68</v>
      </c>
      <c r="AB92" s="120">
        <v>14.5</v>
      </c>
      <c r="AC92" s="120">
        <v>91</v>
      </c>
      <c r="AD92" s="120">
        <v>1363</v>
      </c>
      <c r="AE92" s="120">
        <v>-9999</v>
      </c>
      <c r="AF92" s="120">
        <v>-9999</v>
      </c>
      <c r="AG92" s="120">
        <v>-9999</v>
      </c>
      <c r="AQ92" s="57">
        <v>5</v>
      </c>
      <c r="AR92" s="57">
        <v>115</v>
      </c>
      <c r="AS92" s="57">
        <v>20</v>
      </c>
      <c r="AT92" s="57" t="e">
        <f>AVERAGEIFS(Compressors!$S:$S,Compressors!$G:$G,AS92,Compressors!$I:$I,AR92,Compressors!$D:$D,AQ92)</f>
        <v>#DIV/0!</v>
      </c>
      <c r="AU92">
        <f>AU90+AV93*15</f>
        <v>18.100000762939498</v>
      </c>
      <c r="BB92" s="121">
        <v>25</v>
      </c>
      <c r="BC92" s="121">
        <v>21.299999237060501</v>
      </c>
      <c r="BD92" s="125">
        <v>100</v>
      </c>
      <c r="BE92" s="121"/>
      <c r="BI92" s="121"/>
      <c r="BJ92" s="121"/>
      <c r="BK92" s="121"/>
      <c r="BL92" s="121"/>
      <c r="BM92" s="121"/>
      <c r="BO92" s="131">
        <v>50</v>
      </c>
      <c r="BP92" s="139">
        <v>115</v>
      </c>
      <c r="BQ92" s="143" t="s">
        <v>491</v>
      </c>
    </row>
    <row r="93" spans="1:69" x14ac:dyDescent="0.25">
      <c r="A93" s="120">
        <v>92</v>
      </c>
      <c r="B93" s="120" t="b">
        <v>0</v>
      </c>
      <c r="C93" s="120">
        <v>0</v>
      </c>
      <c r="D93" s="61">
        <v>1</v>
      </c>
      <c r="E93" s="120">
        <v>1</v>
      </c>
      <c r="F93" s="120" t="s">
        <v>170</v>
      </c>
      <c r="G93" s="55">
        <v>25</v>
      </c>
      <c r="H93" s="120">
        <v>107</v>
      </c>
      <c r="I93" s="57">
        <v>100</v>
      </c>
      <c r="J93" s="120">
        <v>100</v>
      </c>
      <c r="K93" s="120">
        <v>2</v>
      </c>
      <c r="L93" s="120">
        <v>50</v>
      </c>
      <c r="M93" s="120">
        <v>15</v>
      </c>
      <c r="N93" s="120">
        <v>40</v>
      </c>
      <c r="O93" s="120">
        <v>2</v>
      </c>
      <c r="P93" s="120">
        <v>20</v>
      </c>
      <c r="Q93" s="120">
        <v>27.5</v>
      </c>
      <c r="R93" s="120">
        <v>22.700000762939499</v>
      </c>
      <c r="S93" s="148">
        <v>21.299999237060501</v>
      </c>
      <c r="T93" s="120">
        <v>65</v>
      </c>
      <c r="U93" s="120">
        <v>28</v>
      </c>
      <c r="V93" s="120">
        <v>-9999</v>
      </c>
      <c r="W93" s="120">
        <v>-9999</v>
      </c>
      <c r="X93" s="120">
        <v>-9999</v>
      </c>
      <c r="Y93" s="120">
        <v>-9999</v>
      </c>
      <c r="Z93" s="120">
        <v>-9999</v>
      </c>
      <c r="AA93" s="120">
        <v>68</v>
      </c>
      <c r="AB93" s="120">
        <v>14.5</v>
      </c>
      <c r="AC93" s="120">
        <v>92</v>
      </c>
      <c r="AD93" s="120">
        <v>1364</v>
      </c>
      <c r="AE93" s="120">
        <v>-9999</v>
      </c>
      <c r="AF93" s="120">
        <v>-9999</v>
      </c>
      <c r="AG93" s="120">
        <v>-9999</v>
      </c>
      <c r="AQ93" s="57">
        <v>5</v>
      </c>
      <c r="AR93" s="57">
        <v>125</v>
      </c>
      <c r="AS93" s="57">
        <v>20</v>
      </c>
      <c r="AT93" s="57">
        <f>AVERAGEIFS(Compressors!$S:$S,Compressors!$G:$G,AS93,Compressors!$I:$I,AR93,Compressors!$D:$D,AQ93)</f>
        <v>18.700000762939499</v>
      </c>
      <c r="AU93" s="57">
        <v>18.700000762939499</v>
      </c>
      <c r="AV93">
        <f>(AU93-AU90)/25</f>
        <v>0.06</v>
      </c>
      <c r="BB93" s="121">
        <v>25</v>
      </c>
      <c r="BC93" s="121">
        <v>21.700000762939499</v>
      </c>
      <c r="BD93" s="125">
        <v>115</v>
      </c>
      <c r="BE93" s="121"/>
      <c r="BI93" s="121"/>
      <c r="BJ93" s="121"/>
      <c r="BK93" s="121"/>
      <c r="BL93" s="121"/>
      <c r="BM93" s="121"/>
      <c r="BO93" s="130">
        <v>50</v>
      </c>
      <c r="BP93" s="139">
        <v>125</v>
      </c>
      <c r="BQ93" s="142" t="s">
        <v>108</v>
      </c>
    </row>
    <row r="94" spans="1:69" x14ac:dyDescent="0.25">
      <c r="A94" s="120">
        <v>93</v>
      </c>
      <c r="B94" s="120" t="b">
        <v>0</v>
      </c>
      <c r="C94" s="120">
        <v>0</v>
      </c>
      <c r="D94" s="61">
        <v>1</v>
      </c>
      <c r="E94" s="120">
        <v>1</v>
      </c>
      <c r="F94" s="120" t="s">
        <v>170</v>
      </c>
      <c r="G94" s="55">
        <v>25</v>
      </c>
      <c r="H94" s="120">
        <v>107</v>
      </c>
      <c r="I94" s="57">
        <v>100</v>
      </c>
      <c r="J94" s="120">
        <v>100</v>
      </c>
      <c r="K94" s="120">
        <v>3</v>
      </c>
      <c r="L94" s="120">
        <v>40</v>
      </c>
      <c r="M94" s="120">
        <v>15</v>
      </c>
      <c r="N94" s="120">
        <v>40</v>
      </c>
      <c r="O94" s="120">
        <v>2</v>
      </c>
      <c r="P94" s="120">
        <v>16.666999816894499</v>
      </c>
      <c r="Q94" s="120">
        <v>27.5</v>
      </c>
      <c r="R94" s="120">
        <v>22.700000762939499</v>
      </c>
      <c r="S94" s="148">
        <v>21.299999237060501</v>
      </c>
      <c r="T94" s="120">
        <v>57</v>
      </c>
      <c r="U94" s="120">
        <v>28</v>
      </c>
      <c r="V94" s="120">
        <v>-9999</v>
      </c>
      <c r="W94" s="120">
        <v>-9999</v>
      </c>
      <c r="X94" s="120">
        <v>-9999</v>
      </c>
      <c r="Y94" s="120">
        <v>-9999</v>
      </c>
      <c r="Z94" s="120">
        <v>-9999</v>
      </c>
      <c r="AA94" s="120">
        <v>68</v>
      </c>
      <c r="AB94" s="120">
        <v>14.5</v>
      </c>
      <c r="AC94" s="120">
        <v>93</v>
      </c>
      <c r="AD94" s="120">
        <v>1365</v>
      </c>
      <c r="AE94" s="120">
        <v>-9999</v>
      </c>
      <c r="AF94" s="120">
        <v>-9999</v>
      </c>
      <c r="AG94" s="120">
        <v>-9999</v>
      </c>
      <c r="AQ94" s="57">
        <v>6</v>
      </c>
      <c r="AR94" s="57">
        <v>100</v>
      </c>
      <c r="AS94" s="57">
        <v>20</v>
      </c>
      <c r="AT94" s="57" t="e">
        <f>AVERAGEIFS(Compressors!$S:$S,Compressors!$G:$G,AS94,Compressors!$I:$I,AR94,Compressors!$D:$D,AQ94)</f>
        <v>#DIV/0!</v>
      </c>
      <c r="AU94" s="53"/>
      <c r="BB94" s="121">
        <v>25</v>
      </c>
      <c r="BC94" s="121">
        <v>21.700000762939499</v>
      </c>
      <c r="BD94" s="125">
        <v>115</v>
      </c>
      <c r="BE94" s="121"/>
      <c r="BI94" s="121"/>
      <c r="BJ94" s="121"/>
      <c r="BK94" s="121"/>
      <c r="BL94" s="121"/>
      <c r="BM94" s="121"/>
      <c r="BO94" s="131">
        <v>50</v>
      </c>
      <c r="BP94" s="139">
        <v>125</v>
      </c>
      <c r="BQ94" s="143" t="s">
        <v>491</v>
      </c>
    </row>
    <row r="95" spans="1:69" x14ac:dyDescent="0.25">
      <c r="A95" s="120">
        <v>94</v>
      </c>
      <c r="B95" s="120" t="b">
        <v>0</v>
      </c>
      <c r="C95" s="120">
        <v>0</v>
      </c>
      <c r="D95" s="61">
        <v>1</v>
      </c>
      <c r="E95" s="120">
        <v>1</v>
      </c>
      <c r="F95" s="120" t="s">
        <v>170</v>
      </c>
      <c r="G95" s="55">
        <v>25</v>
      </c>
      <c r="H95" s="120">
        <v>102</v>
      </c>
      <c r="I95" s="57">
        <v>100</v>
      </c>
      <c r="J95" s="120">
        <v>110</v>
      </c>
      <c r="K95" s="120">
        <v>4</v>
      </c>
      <c r="L95" s="120">
        <v>100</v>
      </c>
      <c r="M95" s="120">
        <v>15</v>
      </c>
      <c r="N95" s="120">
        <v>40</v>
      </c>
      <c r="O95" s="120">
        <v>2</v>
      </c>
      <c r="P95" s="120">
        <v>-9999</v>
      </c>
      <c r="Q95" s="120">
        <v>26.299999237060501</v>
      </c>
      <c r="R95" s="120">
        <v>21.700000762939499</v>
      </c>
      <c r="S95" s="148">
        <v>21.299999237060501</v>
      </c>
      <c r="T95" s="120">
        <v>-9999</v>
      </c>
      <c r="U95" s="120">
        <v>28</v>
      </c>
      <c r="V95" s="120">
        <v>-9999</v>
      </c>
      <c r="W95" s="120">
        <v>-9999</v>
      </c>
      <c r="X95" s="120">
        <v>-9999</v>
      </c>
      <c r="Y95" s="120">
        <v>-9999</v>
      </c>
      <c r="Z95" s="120">
        <v>-9999</v>
      </c>
      <c r="AA95" s="120">
        <v>68</v>
      </c>
      <c r="AB95" s="120">
        <v>14.5</v>
      </c>
      <c r="AC95" s="120">
        <v>94</v>
      </c>
      <c r="AD95" s="120">
        <v>1366</v>
      </c>
      <c r="AE95" s="120">
        <v>-9999</v>
      </c>
      <c r="AF95" s="120">
        <v>-9999</v>
      </c>
      <c r="AG95" s="120">
        <v>-9999</v>
      </c>
      <c r="AQ95" s="57">
        <v>6</v>
      </c>
      <c r="AR95" s="57">
        <v>110</v>
      </c>
      <c r="AS95" s="57">
        <v>20</v>
      </c>
      <c r="AT95" s="57" t="e">
        <f>AVERAGEIFS(Compressors!$S:$S,Compressors!$G:$G,AS95,Compressors!$I:$I,AR95,Compressors!$D:$D,AQ95)</f>
        <v>#DIV/0!</v>
      </c>
      <c r="AU95" s="53"/>
      <c r="BB95" s="121">
        <v>25</v>
      </c>
      <c r="BC95" s="121">
        <v>21.700000762939499</v>
      </c>
      <c r="BD95" s="125">
        <v>115</v>
      </c>
      <c r="BE95" s="121"/>
      <c r="BI95" s="121"/>
      <c r="BJ95" s="121"/>
      <c r="BK95" s="121"/>
      <c r="BL95" s="121"/>
      <c r="BM95" s="121"/>
      <c r="BO95" s="131">
        <v>50</v>
      </c>
      <c r="BP95" s="139">
        <v>125</v>
      </c>
      <c r="BQ95" s="143" t="s">
        <v>492</v>
      </c>
    </row>
    <row r="96" spans="1:69" x14ac:dyDescent="0.25">
      <c r="A96" s="120">
        <v>95</v>
      </c>
      <c r="B96" s="120" t="b">
        <v>0</v>
      </c>
      <c r="C96" s="120">
        <v>0</v>
      </c>
      <c r="D96" s="61">
        <v>1</v>
      </c>
      <c r="E96" s="120">
        <v>1</v>
      </c>
      <c r="F96" s="120" t="s">
        <v>170</v>
      </c>
      <c r="G96" s="55">
        <v>25</v>
      </c>
      <c r="H96" s="120">
        <v>102</v>
      </c>
      <c r="I96" s="57">
        <v>100</v>
      </c>
      <c r="J96" s="120">
        <v>110</v>
      </c>
      <c r="K96" s="120">
        <v>11</v>
      </c>
      <c r="L96" s="120">
        <v>60</v>
      </c>
      <c r="M96" s="120">
        <v>15</v>
      </c>
      <c r="N96" s="120">
        <v>40</v>
      </c>
      <c r="O96" s="120">
        <v>2</v>
      </c>
      <c r="P96" s="120">
        <v>25</v>
      </c>
      <c r="Q96" s="120">
        <v>26.299999237060501</v>
      </c>
      <c r="R96" s="120">
        <v>21.700000762939499</v>
      </c>
      <c r="S96" s="148">
        <v>21.299999237060501</v>
      </c>
      <c r="T96" s="120">
        <v>70</v>
      </c>
      <c r="U96" s="120">
        <v>28</v>
      </c>
      <c r="V96" s="120">
        <v>-9999</v>
      </c>
      <c r="W96" s="120">
        <v>-9999</v>
      </c>
      <c r="X96" s="120">
        <v>-9999</v>
      </c>
      <c r="Y96" s="120">
        <v>-9999</v>
      </c>
      <c r="Z96" s="120">
        <v>-9999</v>
      </c>
      <c r="AA96" s="120">
        <v>68</v>
      </c>
      <c r="AB96" s="120">
        <v>14.5</v>
      </c>
      <c r="AC96" s="120">
        <v>95</v>
      </c>
      <c r="AD96" s="120">
        <v>1367</v>
      </c>
      <c r="AE96" s="120">
        <v>-9999</v>
      </c>
      <c r="AF96" s="120">
        <v>-9999</v>
      </c>
      <c r="AG96" s="120">
        <v>-9999</v>
      </c>
      <c r="AQ96" s="57">
        <v>6</v>
      </c>
      <c r="AR96" s="57">
        <v>115</v>
      </c>
      <c r="AS96" s="57">
        <v>20</v>
      </c>
      <c r="AT96" s="57" t="e">
        <f>AVERAGEIFS(Compressors!$S:$S,Compressors!$G:$G,AS96,Compressors!$I:$I,AR96,Compressors!$D:$D,AQ96)</f>
        <v>#DIV/0!</v>
      </c>
      <c r="AU96" s="53"/>
      <c r="BB96" s="121">
        <v>25</v>
      </c>
      <c r="BC96" s="121">
        <v>21.700000762939499</v>
      </c>
      <c r="BD96" s="125">
        <v>115</v>
      </c>
      <c r="BE96" s="121"/>
      <c r="BI96" s="121"/>
      <c r="BJ96" s="121"/>
      <c r="BK96" s="121"/>
      <c r="BL96" s="121"/>
      <c r="BM96" s="121"/>
      <c r="BO96" s="131">
        <v>50</v>
      </c>
      <c r="BP96" s="139">
        <v>125</v>
      </c>
      <c r="BQ96" s="143" t="s">
        <v>363</v>
      </c>
    </row>
    <row r="97" spans="1:76" x14ac:dyDescent="0.25">
      <c r="A97" s="120">
        <v>96</v>
      </c>
      <c r="B97" s="120" t="b">
        <v>0</v>
      </c>
      <c r="C97" s="120">
        <v>0</v>
      </c>
      <c r="D97" s="61">
        <v>1</v>
      </c>
      <c r="E97" s="120">
        <v>1</v>
      </c>
      <c r="F97" s="120" t="s">
        <v>170</v>
      </c>
      <c r="G97" s="55">
        <v>25</v>
      </c>
      <c r="H97" s="120">
        <v>100</v>
      </c>
      <c r="I97" s="57">
        <v>115</v>
      </c>
      <c r="J97" s="120">
        <v>125</v>
      </c>
      <c r="K97" s="120">
        <v>1</v>
      </c>
      <c r="L97" s="120">
        <v>50</v>
      </c>
      <c r="M97" s="120">
        <v>15</v>
      </c>
      <c r="N97" s="120">
        <v>40</v>
      </c>
      <c r="O97" s="120">
        <v>2</v>
      </c>
      <c r="P97" s="120">
        <v>5</v>
      </c>
      <c r="Q97" s="120">
        <v>26.299999237060501</v>
      </c>
      <c r="R97" s="120">
        <v>21.700000762939499</v>
      </c>
      <c r="S97" s="148">
        <v>21.700000762939499</v>
      </c>
      <c r="T97" s="120">
        <v>65</v>
      </c>
      <c r="U97" s="120">
        <v>26</v>
      </c>
      <c r="V97" s="120">
        <v>-9999</v>
      </c>
      <c r="W97" s="120">
        <v>-9999</v>
      </c>
      <c r="X97" s="120">
        <v>-9999</v>
      </c>
      <c r="Y97" s="120">
        <v>-9999</v>
      </c>
      <c r="Z97" s="120">
        <v>-9999</v>
      </c>
      <c r="AA97" s="120">
        <v>68</v>
      </c>
      <c r="AB97" s="120">
        <v>14.5</v>
      </c>
      <c r="AC97" s="120">
        <v>96</v>
      </c>
      <c r="AD97" s="120">
        <v>1368</v>
      </c>
      <c r="AE97" s="120">
        <v>-9999</v>
      </c>
      <c r="AF97" s="120">
        <v>-9999</v>
      </c>
      <c r="AG97" s="120">
        <v>-9999</v>
      </c>
      <c r="AQ97" s="57">
        <v>6</v>
      </c>
      <c r="AR97" s="57">
        <v>125</v>
      </c>
      <c r="AS97" s="57">
        <v>20</v>
      </c>
      <c r="AT97" s="57" t="e">
        <f>AVERAGEIFS(Compressors!$S:$S,Compressors!$G:$G,AS97,Compressors!$I:$I,AR97,Compressors!$D:$D,AQ97)</f>
        <v>#DIV/0!</v>
      </c>
      <c r="AU97" s="53"/>
      <c r="BB97" s="121">
        <v>25</v>
      </c>
      <c r="BC97" s="121">
        <v>21.700000762939499</v>
      </c>
      <c r="BD97" s="125">
        <v>115</v>
      </c>
      <c r="BE97" s="121"/>
      <c r="BI97" s="121"/>
      <c r="BJ97" s="121"/>
      <c r="BK97" s="121"/>
      <c r="BL97" s="121"/>
      <c r="BM97" s="121"/>
      <c r="BO97" s="130">
        <v>60</v>
      </c>
      <c r="BP97" s="139">
        <v>100</v>
      </c>
      <c r="BQ97" s="142" t="s">
        <v>108</v>
      </c>
    </row>
    <row r="98" spans="1:76" x14ac:dyDescent="0.25">
      <c r="A98" s="120">
        <v>97</v>
      </c>
      <c r="B98" s="120" t="b">
        <v>0</v>
      </c>
      <c r="C98" s="120">
        <v>0</v>
      </c>
      <c r="D98" s="61">
        <v>1</v>
      </c>
      <c r="E98" s="120">
        <v>1</v>
      </c>
      <c r="F98" s="120" t="s">
        <v>170</v>
      </c>
      <c r="G98" s="55">
        <v>25</v>
      </c>
      <c r="H98" s="120">
        <v>105</v>
      </c>
      <c r="I98" s="57">
        <v>115</v>
      </c>
      <c r="J98" s="120">
        <v>115</v>
      </c>
      <c r="K98" s="120">
        <v>2</v>
      </c>
      <c r="L98" s="120">
        <v>50</v>
      </c>
      <c r="M98" s="120">
        <v>15</v>
      </c>
      <c r="N98" s="120">
        <v>40</v>
      </c>
      <c r="O98" s="120">
        <v>2</v>
      </c>
      <c r="P98" s="120">
        <v>20</v>
      </c>
      <c r="Q98" s="120">
        <v>27.5</v>
      </c>
      <c r="R98" s="120">
        <v>22.700000762939499</v>
      </c>
      <c r="S98" s="148">
        <v>21.700000762939499</v>
      </c>
      <c r="T98" s="120">
        <v>65</v>
      </c>
      <c r="U98" s="120">
        <v>26</v>
      </c>
      <c r="V98" s="120">
        <v>-9999</v>
      </c>
      <c r="W98" s="120">
        <v>-9999</v>
      </c>
      <c r="X98" s="120">
        <v>-9999</v>
      </c>
      <c r="Y98" s="120">
        <v>-9999</v>
      </c>
      <c r="Z98" s="120">
        <v>-9999</v>
      </c>
      <c r="AA98" s="120">
        <v>68</v>
      </c>
      <c r="AB98" s="120">
        <v>14.5</v>
      </c>
      <c r="AC98" s="120">
        <v>97</v>
      </c>
      <c r="AD98" s="120">
        <v>1369</v>
      </c>
      <c r="AE98" s="120">
        <v>-9999</v>
      </c>
      <c r="AF98" s="120">
        <v>-9999</v>
      </c>
      <c r="AG98" s="120">
        <v>-9999</v>
      </c>
      <c r="AQ98" s="58">
        <v>1</v>
      </c>
      <c r="AR98" s="58">
        <v>100</v>
      </c>
      <c r="AS98" s="58">
        <v>25</v>
      </c>
      <c r="AT98" s="58">
        <f>AVERAGEIFS(Compressors!$S:$S,Compressors!$G:$G,AS98,Compressors!$I:$I,AR98,Compressors!$D:$D,AQ98)</f>
        <v>21.299999237060501</v>
      </c>
      <c r="AU98" s="58">
        <v>21.3</v>
      </c>
      <c r="BB98" s="121">
        <v>25</v>
      </c>
      <c r="BC98" s="121">
        <v>24.899999618530298</v>
      </c>
      <c r="BD98" s="125">
        <v>125</v>
      </c>
      <c r="BE98" s="121"/>
      <c r="BI98" s="121"/>
      <c r="BJ98" s="121"/>
      <c r="BK98" s="121"/>
      <c r="BL98" s="121"/>
      <c r="BM98" s="121"/>
      <c r="BO98" s="131">
        <v>60</v>
      </c>
      <c r="BP98" s="139">
        <v>100</v>
      </c>
      <c r="BQ98" s="143" t="s">
        <v>491</v>
      </c>
    </row>
    <row r="99" spans="1:76" x14ac:dyDescent="0.25">
      <c r="A99" s="120">
        <v>98</v>
      </c>
      <c r="B99" s="120" t="b">
        <v>0</v>
      </c>
      <c r="C99" s="120">
        <v>0</v>
      </c>
      <c r="D99" s="61">
        <v>1</v>
      </c>
      <c r="E99" s="120">
        <v>1</v>
      </c>
      <c r="F99" s="120" t="s">
        <v>170</v>
      </c>
      <c r="G99" s="55">
        <v>25</v>
      </c>
      <c r="H99" s="120">
        <v>105</v>
      </c>
      <c r="I99" s="57">
        <v>115</v>
      </c>
      <c r="J99" s="120">
        <v>115</v>
      </c>
      <c r="K99" s="120">
        <v>3</v>
      </c>
      <c r="L99" s="120">
        <v>40</v>
      </c>
      <c r="M99" s="120">
        <v>15</v>
      </c>
      <c r="N99" s="120">
        <v>40</v>
      </c>
      <c r="O99" s="120">
        <v>2</v>
      </c>
      <c r="P99" s="120">
        <v>16.666999816894499</v>
      </c>
      <c r="Q99" s="120">
        <v>27.5</v>
      </c>
      <c r="R99" s="120">
        <v>22.700000762939499</v>
      </c>
      <c r="S99" s="148">
        <v>21.700000762939499</v>
      </c>
      <c r="T99" s="120">
        <v>57</v>
      </c>
      <c r="U99" s="120">
        <v>26</v>
      </c>
      <c r="V99" s="120">
        <v>-9999</v>
      </c>
      <c r="W99" s="120">
        <v>-9999</v>
      </c>
      <c r="X99" s="120">
        <v>-9999</v>
      </c>
      <c r="Y99" s="120">
        <v>-9999</v>
      </c>
      <c r="Z99" s="120">
        <v>-9999</v>
      </c>
      <c r="AA99" s="120">
        <v>68</v>
      </c>
      <c r="AB99" s="120">
        <v>14.5</v>
      </c>
      <c r="AC99" s="120">
        <v>98</v>
      </c>
      <c r="AD99" s="120">
        <v>1370</v>
      </c>
      <c r="AE99" s="120">
        <v>-9999</v>
      </c>
      <c r="AF99" s="120">
        <v>-9999</v>
      </c>
      <c r="AG99" s="120">
        <v>-9999</v>
      </c>
      <c r="AQ99" s="58">
        <v>1</v>
      </c>
      <c r="AR99" s="58">
        <v>110</v>
      </c>
      <c r="AS99" s="58">
        <v>25</v>
      </c>
      <c r="AT99" s="58" t="e">
        <f>AVERAGEIFS(Compressors!$S:$S,Compressors!$G:$G,AS99,Compressors!$I:$I,AR99,Compressors!$D:$D,AQ99)</f>
        <v>#DIV/0!</v>
      </c>
      <c r="AU99" s="30">
        <v>21.56</v>
      </c>
      <c r="BB99" s="121">
        <v>25</v>
      </c>
      <c r="BC99" s="121">
        <v>24.899999618530298</v>
      </c>
      <c r="BD99" s="125">
        <v>125</v>
      </c>
      <c r="BE99" s="121"/>
      <c r="BI99" s="121"/>
      <c r="BJ99" s="121"/>
      <c r="BK99" s="121"/>
      <c r="BL99" s="121"/>
      <c r="BM99" s="121"/>
      <c r="BO99" s="131">
        <v>60</v>
      </c>
      <c r="BP99" s="139">
        <v>100</v>
      </c>
      <c r="BQ99" s="143" t="s">
        <v>492</v>
      </c>
    </row>
    <row r="100" spans="1:76" x14ac:dyDescent="0.25">
      <c r="A100" s="120">
        <v>99</v>
      </c>
      <c r="B100" s="120" t="b">
        <v>0</v>
      </c>
      <c r="C100" s="120">
        <v>0</v>
      </c>
      <c r="D100" s="61">
        <v>1</v>
      </c>
      <c r="E100" s="120">
        <v>1</v>
      </c>
      <c r="F100" s="120" t="s">
        <v>170</v>
      </c>
      <c r="G100" s="55">
        <v>25</v>
      </c>
      <c r="H100" s="120">
        <v>100</v>
      </c>
      <c r="I100" s="57">
        <v>115</v>
      </c>
      <c r="J100" s="120">
        <v>125</v>
      </c>
      <c r="K100" s="120">
        <v>4</v>
      </c>
      <c r="L100" s="120">
        <v>100</v>
      </c>
      <c r="M100" s="120">
        <v>15</v>
      </c>
      <c r="N100" s="120">
        <v>40</v>
      </c>
      <c r="O100" s="120">
        <v>2</v>
      </c>
      <c r="P100" s="120">
        <v>-9999</v>
      </c>
      <c r="Q100" s="120">
        <v>26.299999237060501</v>
      </c>
      <c r="R100" s="120">
        <v>21.700000762939499</v>
      </c>
      <c r="S100" s="148">
        <v>21.700000762939499</v>
      </c>
      <c r="T100" s="120">
        <v>-9999</v>
      </c>
      <c r="U100" s="120">
        <v>26</v>
      </c>
      <c r="V100" s="120">
        <v>-9999</v>
      </c>
      <c r="W100" s="120">
        <v>-9999</v>
      </c>
      <c r="X100" s="120">
        <v>-9999</v>
      </c>
      <c r="Y100" s="120">
        <v>-9999</v>
      </c>
      <c r="Z100" s="120">
        <v>-9999</v>
      </c>
      <c r="AA100" s="120">
        <v>68</v>
      </c>
      <c r="AB100" s="120">
        <v>14.5</v>
      </c>
      <c r="AC100" s="120">
        <v>99</v>
      </c>
      <c r="AD100" s="120">
        <v>1371</v>
      </c>
      <c r="AE100" s="120">
        <v>-9999</v>
      </c>
      <c r="AF100" s="120">
        <v>-9999</v>
      </c>
      <c r="AG100" s="120">
        <v>-9999</v>
      </c>
      <c r="AQ100" s="58">
        <v>1</v>
      </c>
      <c r="AR100" s="58">
        <v>115</v>
      </c>
      <c r="AS100" s="58">
        <v>25</v>
      </c>
      <c r="AT100" s="58">
        <f>AVERAGEIFS(Compressors!$S:$S,Compressors!$G:$G,AS100,Compressors!$I:$I,AR100,Compressors!$D:$D,AQ100)</f>
        <v>21.700000762939499</v>
      </c>
      <c r="AU100" s="58">
        <v>21.7</v>
      </c>
      <c r="BB100" s="121">
        <v>25</v>
      </c>
      <c r="BC100" s="121">
        <v>24.899999618530298</v>
      </c>
      <c r="BD100" s="125">
        <v>125</v>
      </c>
      <c r="BE100" s="121"/>
      <c r="BI100" s="121"/>
      <c r="BJ100" s="121"/>
      <c r="BK100" s="121"/>
      <c r="BL100" s="121"/>
      <c r="BM100" s="121"/>
      <c r="BO100" s="131">
        <v>60</v>
      </c>
      <c r="BP100" s="139">
        <v>100</v>
      </c>
      <c r="BQ100" s="143" t="s">
        <v>363</v>
      </c>
    </row>
    <row r="101" spans="1:76" x14ac:dyDescent="0.25">
      <c r="A101" s="120">
        <v>100</v>
      </c>
      <c r="B101" s="120" t="b">
        <v>0</v>
      </c>
      <c r="C101" s="120">
        <v>0</v>
      </c>
      <c r="D101" s="61">
        <v>1</v>
      </c>
      <c r="E101" s="120">
        <v>1</v>
      </c>
      <c r="F101" s="120" t="s">
        <v>170</v>
      </c>
      <c r="G101" s="55">
        <v>25</v>
      </c>
      <c r="H101" s="120">
        <v>100</v>
      </c>
      <c r="I101" s="57">
        <v>115</v>
      </c>
      <c r="J101" s="120">
        <v>125</v>
      </c>
      <c r="K101" s="120">
        <v>11</v>
      </c>
      <c r="L101" s="120">
        <v>60</v>
      </c>
      <c r="M101" s="120">
        <v>15</v>
      </c>
      <c r="N101" s="120">
        <v>40</v>
      </c>
      <c r="O101" s="120">
        <v>2</v>
      </c>
      <c r="P101" s="120">
        <v>25</v>
      </c>
      <c r="Q101" s="120">
        <v>26.299999237060501</v>
      </c>
      <c r="R101" s="120">
        <v>21.700000762939499</v>
      </c>
      <c r="S101" s="148">
        <v>21.700000762939499</v>
      </c>
      <c r="T101" s="120">
        <v>70</v>
      </c>
      <c r="U101" s="120">
        <v>26</v>
      </c>
      <c r="V101" s="120">
        <v>-9999</v>
      </c>
      <c r="W101" s="120">
        <v>-9999</v>
      </c>
      <c r="X101" s="120">
        <v>-9999</v>
      </c>
      <c r="Y101" s="120">
        <v>-9999</v>
      </c>
      <c r="Z101" s="120">
        <v>-9999</v>
      </c>
      <c r="AA101" s="120">
        <v>68</v>
      </c>
      <c r="AB101" s="120">
        <v>14.5</v>
      </c>
      <c r="AC101" s="120">
        <v>100</v>
      </c>
      <c r="AD101" s="120">
        <v>1372</v>
      </c>
      <c r="AE101" s="120">
        <v>-9999</v>
      </c>
      <c r="AF101" s="120">
        <v>-9999</v>
      </c>
      <c r="AG101" s="120">
        <v>-9999</v>
      </c>
      <c r="AQ101" s="58">
        <v>1</v>
      </c>
      <c r="AR101" s="58">
        <v>125</v>
      </c>
      <c r="AS101" s="58">
        <v>25</v>
      </c>
      <c r="AT101" s="58">
        <f>AVERAGEIFS(Compressors!$S:$S,Compressors!$G:$G,AS101,Compressors!$I:$I,AR101,Compressors!$D:$D,AQ101)</f>
        <v>24.899999618530298</v>
      </c>
      <c r="AU101" s="58">
        <v>24.9</v>
      </c>
      <c r="BB101" s="121">
        <v>25</v>
      </c>
      <c r="BC101" s="121">
        <v>24.899999618530298</v>
      </c>
      <c r="BD101" s="125">
        <v>125</v>
      </c>
      <c r="BE101" s="121"/>
      <c r="BI101" s="121"/>
      <c r="BJ101" s="121"/>
      <c r="BK101" s="121"/>
      <c r="BL101" s="121"/>
      <c r="BM101" s="121"/>
      <c r="BO101" s="144">
        <v>60</v>
      </c>
      <c r="BP101" s="145">
        <v>110</v>
      </c>
      <c r="BQ101" s="146" t="s">
        <v>108</v>
      </c>
    </row>
    <row r="102" spans="1:76" x14ac:dyDescent="0.25">
      <c r="A102" s="120">
        <v>101</v>
      </c>
      <c r="B102" s="120" t="b">
        <v>0</v>
      </c>
      <c r="C102" s="120">
        <v>0</v>
      </c>
      <c r="D102" s="61">
        <v>1</v>
      </c>
      <c r="E102" s="120">
        <v>1</v>
      </c>
      <c r="F102" s="120" t="s">
        <v>170</v>
      </c>
      <c r="G102" s="55">
        <v>25</v>
      </c>
      <c r="H102" s="120">
        <v>87</v>
      </c>
      <c r="I102" s="57">
        <v>125</v>
      </c>
      <c r="J102" s="120">
        <v>135</v>
      </c>
      <c r="K102" s="120">
        <v>1</v>
      </c>
      <c r="L102" s="120">
        <v>50</v>
      </c>
      <c r="M102" s="120">
        <v>15</v>
      </c>
      <c r="N102" s="120">
        <v>40</v>
      </c>
      <c r="O102" s="120">
        <v>2</v>
      </c>
      <c r="P102" s="120">
        <v>5</v>
      </c>
      <c r="Q102" s="120">
        <v>26.299999237060501</v>
      </c>
      <c r="R102" s="120">
        <v>21.700000762939499</v>
      </c>
      <c r="S102" s="148">
        <v>24.899999618530298</v>
      </c>
      <c r="T102" s="120">
        <v>65</v>
      </c>
      <c r="U102" s="120">
        <v>25</v>
      </c>
      <c r="V102" s="120">
        <v>-9999</v>
      </c>
      <c r="W102" s="120">
        <v>-9999</v>
      </c>
      <c r="X102" s="120">
        <v>-9999</v>
      </c>
      <c r="Y102" s="120">
        <v>-9999</v>
      </c>
      <c r="Z102" s="120">
        <v>-9999</v>
      </c>
      <c r="AA102" s="120">
        <v>68</v>
      </c>
      <c r="AB102" s="120">
        <v>14.5</v>
      </c>
      <c r="AC102" s="120">
        <v>101</v>
      </c>
      <c r="AD102" s="120">
        <v>1373</v>
      </c>
      <c r="AE102" s="120">
        <v>-9999</v>
      </c>
      <c r="AF102" s="120">
        <v>-9999</v>
      </c>
      <c r="AG102" s="120">
        <v>-9999</v>
      </c>
      <c r="AQ102" s="58">
        <v>2</v>
      </c>
      <c r="AR102" s="58">
        <v>100</v>
      </c>
      <c r="AS102" s="58">
        <v>25</v>
      </c>
      <c r="AT102" s="58" t="e">
        <f>AVERAGEIFS(Compressors!$S:$S,Compressors!$G:$G,AS102,Compressors!$I:$I,AR102,Compressors!$D:$D,AQ102)</f>
        <v>#DIV/0!</v>
      </c>
      <c r="AU102" s="65">
        <f>AU98*0.9</f>
        <v>19.170000000000002</v>
      </c>
      <c r="BB102" s="121">
        <v>25</v>
      </c>
      <c r="BC102" s="121">
        <v>24.899999618530298</v>
      </c>
      <c r="BD102" s="125">
        <v>125</v>
      </c>
      <c r="BE102" s="121"/>
      <c r="BI102" s="121"/>
      <c r="BJ102" s="121"/>
      <c r="BK102" s="121"/>
      <c r="BL102" s="121"/>
      <c r="BM102" s="121"/>
      <c r="BO102" s="131">
        <v>60</v>
      </c>
      <c r="BP102" s="139">
        <v>110</v>
      </c>
      <c r="BQ102" s="143" t="s">
        <v>492</v>
      </c>
    </row>
    <row r="103" spans="1:76" x14ac:dyDescent="0.25">
      <c r="A103" s="120">
        <v>102</v>
      </c>
      <c r="B103" s="120" t="b">
        <v>0</v>
      </c>
      <c r="C103" s="120">
        <v>0</v>
      </c>
      <c r="D103" s="61">
        <v>1</v>
      </c>
      <c r="E103" s="120">
        <v>1</v>
      </c>
      <c r="F103" s="120" t="s">
        <v>170</v>
      </c>
      <c r="G103" s="55">
        <v>25</v>
      </c>
      <c r="H103" s="120">
        <v>91</v>
      </c>
      <c r="I103" s="57">
        <v>125</v>
      </c>
      <c r="J103" s="120">
        <v>125</v>
      </c>
      <c r="K103" s="120">
        <v>2</v>
      </c>
      <c r="L103" s="120">
        <v>50</v>
      </c>
      <c r="M103" s="120">
        <v>15</v>
      </c>
      <c r="N103" s="120">
        <v>40</v>
      </c>
      <c r="O103" s="120">
        <v>2</v>
      </c>
      <c r="P103" s="120">
        <v>20</v>
      </c>
      <c r="Q103" s="120">
        <v>27.5</v>
      </c>
      <c r="R103" s="120">
        <v>22.700000762939499</v>
      </c>
      <c r="S103" s="148">
        <v>24.899999618530298</v>
      </c>
      <c r="T103" s="120">
        <v>65</v>
      </c>
      <c r="U103" s="120">
        <v>25</v>
      </c>
      <c r="V103" s="120">
        <v>-9999</v>
      </c>
      <c r="W103" s="120">
        <v>-9999</v>
      </c>
      <c r="X103" s="120">
        <v>-9999</v>
      </c>
      <c r="Y103" s="120">
        <v>-9999</v>
      </c>
      <c r="Z103" s="120">
        <v>-9999</v>
      </c>
      <c r="AA103" s="120">
        <v>68</v>
      </c>
      <c r="AB103" s="120">
        <v>14.5</v>
      </c>
      <c r="AC103" s="120">
        <v>102</v>
      </c>
      <c r="AD103" s="120">
        <v>1374</v>
      </c>
      <c r="AE103" s="120">
        <v>-9999</v>
      </c>
      <c r="AF103" s="120">
        <v>-9999</v>
      </c>
      <c r="AG103" s="120">
        <v>-9999</v>
      </c>
      <c r="AQ103" s="58">
        <v>2</v>
      </c>
      <c r="AR103" s="58">
        <v>110</v>
      </c>
      <c r="AS103" s="58">
        <v>25</v>
      </c>
      <c r="AT103" s="58" t="e">
        <f>AVERAGEIFS(Compressors!$S:$S,Compressors!$G:$G,AS103,Compressors!$I:$I,AR103,Compressors!$D:$D,AQ103)</f>
        <v>#DIV/0!</v>
      </c>
      <c r="AU103" s="65">
        <f>AU99*0.9</f>
        <v>19.404</v>
      </c>
      <c r="BB103" s="121">
        <v>30</v>
      </c>
      <c r="BC103" s="121">
        <v>19.399999618530298</v>
      </c>
      <c r="BD103" s="125">
        <v>100</v>
      </c>
      <c r="BE103" s="121"/>
      <c r="BI103" s="121"/>
      <c r="BJ103" s="121"/>
      <c r="BK103" s="121"/>
      <c r="BL103" s="121"/>
      <c r="BM103" s="121"/>
      <c r="BO103" s="131">
        <v>60</v>
      </c>
      <c r="BP103" s="139">
        <v>110</v>
      </c>
      <c r="BQ103" s="143" t="s">
        <v>363</v>
      </c>
    </row>
    <row r="104" spans="1:76" x14ac:dyDescent="0.25">
      <c r="A104" s="120">
        <v>103</v>
      </c>
      <c r="B104" s="120" t="b">
        <v>0</v>
      </c>
      <c r="C104" s="120">
        <v>0</v>
      </c>
      <c r="D104" s="61">
        <v>1</v>
      </c>
      <c r="E104" s="120">
        <v>1</v>
      </c>
      <c r="F104" s="120" t="s">
        <v>170</v>
      </c>
      <c r="G104" s="55">
        <v>25</v>
      </c>
      <c r="H104" s="120">
        <v>91</v>
      </c>
      <c r="I104" s="57">
        <v>125</v>
      </c>
      <c r="J104" s="120">
        <v>125</v>
      </c>
      <c r="K104" s="120">
        <v>3</v>
      </c>
      <c r="L104" s="120">
        <v>40</v>
      </c>
      <c r="M104" s="120">
        <v>15</v>
      </c>
      <c r="N104" s="120">
        <v>40</v>
      </c>
      <c r="O104" s="120">
        <v>2</v>
      </c>
      <c r="P104" s="120">
        <v>16.666999816894499</v>
      </c>
      <c r="Q104" s="120">
        <v>27.5</v>
      </c>
      <c r="R104" s="120">
        <v>22.700000762939499</v>
      </c>
      <c r="S104" s="148">
        <v>24.899999618530298</v>
      </c>
      <c r="T104" s="120">
        <v>57</v>
      </c>
      <c r="U104" s="120">
        <v>25</v>
      </c>
      <c r="V104" s="120">
        <v>-9999</v>
      </c>
      <c r="W104" s="120">
        <v>-9999</v>
      </c>
      <c r="X104" s="120">
        <v>-9999</v>
      </c>
      <c r="Y104" s="120">
        <v>-9999</v>
      </c>
      <c r="Z104" s="120">
        <v>-9999</v>
      </c>
      <c r="AA104" s="120">
        <v>68</v>
      </c>
      <c r="AB104" s="120">
        <v>14.5</v>
      </c>
      <c r="AC104" s="120">
        <v>103</v>
      </c>
      <c r="AD104" s="120">
        <v>1375</v>
      </c>
      <c r="AE104" s="120">
        <v>-9999</v>
      </c>
      <c r="AF104" s="120">
        <v>-9999</v>
      </c>
      <c r="AG104" s="120">
        <v>-9999</v>
      </c>
      <c r="AQ104" s="58">
        <v>2</v>
      </c>
      <c r="AR104" s="58">
        <v>115</v>
      </c>
      <c r="AS104" s="58">
        <v>25</v>
      </c>
      <c r="AT104" s="58" t="e">
        <f>AVERAGEIFS(Compressors!$S:$S,Compressors!$G:$G,AS104,Compressors!$I:$I,AR104,Compressors!$D:$D,AQ104)</f>
        <v>#DIV/0!</v>
      </c>
      <c r="AU104" s="65">
        <f>AU100*0.9</f>
        <v>19.53</v>
      </c>
      <c r="BB104" s="121">
        <v>30</v>
      </c>
      <c r="BC104" s="121">
        <v>19.399999618530298</v>
      </c>
      <c r="BD104" s="125">
        <v>100</v>
      </c>
      <c r="BE104" s="121"/>
      <c r="BI104" s="121"/>
      <c r="BJ104" s="121"/>
      <c r="BK104" s="121"/>
      <c r="BL104" s="121"/>
      <c r="BM104" s="121"/>
      <c r="BO104" s="130">
        <v>60</v>
      </c>
      <c r="BP104" s="139">
        <v>115</v>
      </c>
      <c r="BQ104" s="142" t="s">
        <v>108</v>
      </c>
      <c r="BX104" t="s">
        <v>312</v>
      </c>
    </row>
    <row r="105" spans="1:76" x14ac:dyDescent="0.25">
      <c r="A105" s="120">
        <v>104</v>
      </c>
      <c r="B105" s="120" t="b">
        <v>0</v>
      </c>
      <c r="C105" s="120">
        <v>0</v>
      </c>
      <c r="D105" s="61">
        <v>1</v>
      </c>
      <c r="E105" s="120">
        <v>1</v>
      </c>
      <c r="F105" s="120" t="s">
        <v>170</v>
      </c>
      <c r="G105" s="55">
        <v>25</v>
      </c>
      <c r="H105" s="120">
        <v>87</v>
      </c>
      <c r="I105" s="57">
        <v>125</v>
      </c>
      <c r="J105" s="120">
        <v>135</v>
      </c>
      <c r="K105" s="120">
        <v>4</v>
      </c>
      <c r="L105" s="120">
        <v>100</v>
      </c>
      <c r="M105" s="120">
        <v>15</v>
      </c>
      <c r="N105" s="120">
        <v>40</v>
      </c>
      <c r="O105" s="120">
        <v>2</v>
      </c>
      <c r="P105" s="120">
        <v>-9999</v>
      </c>
      <c r="Q105" s="120">
        <v>26.299999237060501</v>
      </c>
      <c r="R105" s="120">
        <v>21.700000762939499</v>
      </c>
      <c r="S105" s="148">
        <v>24.899999618530298</v>
      </c>
      <c r="T105" s="120">
        <v>-9999</v>
      </c>
      <c r="U105" s="120">
        <v>25</v>
      </c>
      <c r="V105" s="120">
        <v>-9999</v>
      </c>
      <c r="W105" s="120">
        <v>-9999</v>
      </c>
      <c r="X105" s="120">
        <v>-9999</v>
      </c>
      <c r="Y105" s="120">
        <v>-9999</v>
      </c>
      <c r="Z105" s="120">
        <v>-9999</v>
      </c>
      <c r="AA105" s="120">
        <v>68</v>
      </c>
      <c r="AB105" s="120">
        <v>14.5</v>
      </c>
      <c r="AC105" s="120">
        <v>104</v>
      </c>
      <c r="AD105" s="120">
        <v>1376</v>
      </c>
      <c r="AE105" s="120">
        <v>-9999</v>
      </c>
      <c r="AF105" s="120">
        <v>-9999</v>
      </c>
      <c r="AG105" s="120">
        <v>-9999</v>
      </c>
      <c r="AQ105" s="58">
        <v>2</v>
      </c>
      <c r="AR105" s="58">
        <v>125</v>
      </c>
      <c r="AS105" s="58">
        <v>25</v>
      </c>
      <c r="AT105" s="58" t="e">
        <f>AVERAGEIFS(Compressors!$S:$S,Compressors!$G:$G,AS105,Compressors!$I:$I,AR105,Compressors!$D:$D,AQ105)</f>
        <v>#DIV/0!</v>
      </c>
      <c r="AU105" s="65">
        <f>AU101*0.9</f>
        <v>22.41</v>
      </c>
      <c r="BB105" s="121">
        <v>30</v>
      </c>
      <c r="BC105" s="121">
        <v>19.399999618530298</v>
      </c>
      <c r="BD105" s="125">
        <v>100</v>
      </c>
      <c r="BE105" s="121"/>
      <c r="BI105" s="121"/>
      <c r="BJ105" s="121"/>
      <c r="BK105" s="121"/>
      <c r="BL105" s="121"/>
      <c r="BM105" s="121"/>
      <c r="BO105" s="131">
        <v>60</v>
      </c>
      <c r="BP105" s="139">
        <v>115</v>
      </c>
      <c r="BQ105" s="143" t="s">
        <v>491</v>
      </c>
    </row>
    <row r="106" spans="1:76" x14ac:dyDescent="0.25">
      <c r="A106" s="120">
        <v>105</v>
      </c>
      <c r="B106" s="120" t="b">
        <v>0</v>
      </c>
      <c r="C106" s="120">
        <v>0</v>
      </c>
      <c r="D106" s="61">
        <v>1</v>
      </c>
      <c r="E106" s="120">
        <v>1</v>
      </c>
      <c r="F106" s="120" t="s">
        <v>170</v>
      </c>
      <c r="G106" s="55">
        <v>25</v>
      </c>
      <c r="H106" s="120">
        <v>87</v>
      </c>
      <c r="I106" s="57">
        <v>125</v>
      </c>
      <c r="J106" s="120">
        <v>135</v>
      </c>
      <c r="K106" s="120">
        <v>11</v>
      </c>
      <c r="L106" s="120">
        <v>60</v>
      </c>
      <c r="M106" s="120">
        <v>15</v>
      </c>
      <c r="N106" s="120">
        <v>40</v>
      </c>
      <c r="O106" s="120">
        <v>2</v>
      </c>
      <c r="P106" s="120">
        <v>25</v>
      </c>
      <c r="Q106" s="120">
        <v>26.299999237060501</v>
      </c>
      <c r="R106" s="120">
        <v>21.700000762939499</v>
      </c>
      <c r="S106" s="148">
        <v>24.899999618530298</v>
      </c>
      <c r="T106" s="120">
        <v>70</v>
      </c>
      <c r="U106" s="120">
        <v>25</v>
      </c>
      <c r="V106" s="120">
        <v>-9999</v>
      </c>
      <c r="W106" s="120">
        <v>-9999</v>
      </c>
      <c r="X106" s="120">
        <v>-9999</v>
      </c>
      <c r="Y106" s="120">
        <v>-9999</v>
      </c>
      <c r="Z106" s="120">
        <v>-9999</v>
      </c>
      <c r="AA106" s="120">
        <v>68</v>
      </c>
      <c r="AB106" s="120">
        <v>14.5</v>
      </c>
      <c r="AC106" s="120">
        <v>105</v>
      </c>
      <c r="AD106" s="120">
        <v>1377</v>
      </c>
      <c r="AE106" s="120">
        <v>-9999</v>
      </c>
      <c r="AF106" s="120">
        <v>-9999</v>
      </c>
      <c r="AG106" s="120">
        <v>-9999</v>
      </c>
      <c r="AQ106" s="58">
        <v>4</v>
      </c>
      <c r="AR106" s="58">
        <v>100</v>
      </c>
      <c r="AS106" s="58">
        <v>25</v>
      </c>
      <c r="AT106" s="58">
        <f>AVERAGEIFS(Compressors!$S:$S,Compressors!$G:$G,AS106,Compressors!$I:$I,AR106,Compressors!$D:$D,AQ106)</f>
        <v>20.700000762939499</v>
      </c>
      <c r="AU106" s="58">
        <v>20.700000762939499</v>
      </c>
      <c r="AW106">
        <f>AU106/AU98</f>
        <v>0.97183102173424873</v>
      </c>
      <c r="BB106" s="121">
        <v>30</v>
      </c>
      <c r="BC106" s="121">
        <v>19.399999618530298</v>
      </c>
      <c r="BD106" s="125">
        <v>100</v>
      </c>
      <c r="BE106" s="121"/>
      <c r="BI106" s="121"/>
      <c r="BJ106" s="121"/>
      <c r="BK106" s="121"/>
      <c r="BL106" s="121"/>
      <c r="BM106" s="121"/>
      <c r="BO106" s="130">
        <v>60</v>
      </c>
      <c r="BP106" s="139">
        <v>125</v>
      </c>
      <c r="BQ106" s="142" t="s">
        <v>108</v>
      </c>
    </row>
    <row r="107" spans="1:76" x14ac:dyDescent="0.25">
      <c r="A107" s="120">
        <v>106</v>
      </c>
      <c r="B107" s="120" t="b">
        <v>0</v>
      </c>
      <c r="C107" s="120">
        <v>0</v>
      </c>
      <c r="D107" s="61">
        <v>1</v>
      </c>
      <c r="E107" s="120">
        <v>1</v>
      </c>
      <c r="F107" s="120" t="s">
        <v>170</v>
      </c>
      <c r="G107" s="55">
        <v>25</v>
      </c>
      <c r="H107" s="120">
        <v>82</v>
      </c>
      <c r="I107" s="57">
        <v>140</v>
      </c>
      <c r="J107" s="120">
        <v>150</v>
      </c>
      <c r="K107" s="120">
        <v>1</v>
      </c>
      <c r="L107" s="120">
        <v>50</v>
      </c>
      <c r="M107" s="120">
        <v>15</v>
      </c>
      <c r="N107" s="120">
        <v>40</v>
      </c>
      <c r="O107" s="120">
        <v>2</v>
      </c>
      <c r="P107" s="120">
        <v>5</v>
      </c>
      <c r="Q107" s="120">
        <v>26.299999237060501</v>
      </c>
      <c r="R107" s="120">
        <v>21.700000762939499</v>
      </c>
      <c r="S107" s="148">
        <v>26.399999618530298</v>
      </c>
      <c r="T107" s="120">
        <v>65</v>
      </c>
      <c r="U107" s="120">
        <v>24</v>
      </c>
      <c r="V107" s="120">
        <v>-9999</v>
      </c>
      <c r="W107" s="120">
        <v>-9999</v>
      </c>
      <c r="X107" s="120">
        <v>-9999</v>
      </c>
      <c r="Y107" s="120">
        <v>-9999</v>
      </c>
      <c r="Z107" s="120">
        <v>-9999</v>
      </c>
      <c r="AA107" s="120">
        <v>68</v>
      </c>
      <c r="AB107" s="120">
        <v>14.5</v>
      </c>
      <c r="AC107" s="120">
        <v>106</v>
      </c>
      <c r="AD107" s="120">
        <v>1378</v>
      </c>
      <c r="AE107" s="120">
        <v>-9999</v>
      </c>
      <c r="AF107" s="120">
        <v>-9999</v>
      </c>
      <c r="AG107" s="120">
        <v>-9999</v>
      </c>
      <c r="AQ107" s="58">
        <v>4</v>
      </c>
      <c r="AR107" s="58">
        <v>110</v>
      </c>
      <c r="AS107" s="58">
        <v>25</v>
      </c>
      <c r="AT107" s="58">
        <f>AVERAGEIFS(Compressors!$S:$S,Compressors!$G:$G,AS107,Compressors!$I:$I,AR107,Compressors!$D:$D,AQ107)</f>
        <v>22.100000381469702</v>
      </c>
      <c r="AU107" s="58">
        <v>22.100000381469702</v>
      </c>
      <c r="BB107" s="121">
        <v>30</v>
      </c>
      <c r="BC107" s="121">
        <v>19.399999618530298</v>
      </c>
      <c r="BD107" s="125">
        <v>100</v>
      </c>
      <c r="BE107" s="121"/>
      <c r="BI107" s="121"/>
      <c r="BJ107" s="121"/>
      <c r="BK107" s="121"/>
      <c r="BL107" s="121"/>
      <c r="BM107" s="121"/>
      <c r="BO107" s="131">
        <v>60</v>
      </c>
      <c r="BP107" s="139">
        <v>125</v>
      </c>
      <c r="BQ107" s="143" t="s">
        <v>491</v>
      </c>
    </row>
    <row r="108" spans="1:76" x14ac:dyDescent="0.25">
      <c r="A108" s="120">
        <v>107</v>
      </c>
      <c r="B108" s="120" t="b">
        <v>0</v>
      </c>
      <c r="C108" s="120">
        <v>0</v>
      </c>
      <c r="D108" s="61">
        <v>1</v>
      </c>
      <c r="E108" s="120">
        <v>1</v>
      </c>
      <c r="F108" s="120" t="s">
        <v>170</v>
      </c>
      <c r="G108" s="55">
        <v>25</v>
      </c>
      <c r="H108" s="120">
        <v>86</v>
      </c>
      <c r="I108" s="57">
        <v>140</v>
      </c>
      <c r="J108" s="120">
        <v>140</v>
      </c>
      <c r="K108" s="120">
        <v>2</v>
      </c>
      <c r="L108" s="120">
        <v>50</v>
      </c>
      <c r="M108" s="120">
        <v>15</v>
      </c>
      <c r="N108" s="120">
        <v>40</v>
      </c>
      <c r="O108" s="120">
        <v>2</v>
      </c>
      <c r="P108" s="120">
        <v>20</v>
      </c>
      <c r="Q108" s="120">
        <v>27.5</v>
      </c>
      <c r="R108" s="120">
        <v>22.700000762939499</v>
      </c>
      <c r="S108" s="148">
        <v>26.399999618530298</v>
      </c>
      <c r="T108" s="120">
        <v>65</v>
      </c>
      <c r="U108" s="120">
        <v>24</v>
      </c>
      <c r="V108" s="120">
        <v>-9999</v>
      </c>
      <c r="W108" s="120">
        <v>-9999</v>
      </c>
      <c r="X108" s="120">
        <v>-9999</v>
      </c>
      <c r="Y108" s="120">
        <v>-9999</v>
      </c>
      <c r="Z108" s="120">
        <v>-9999</v>
      </c>
      <c r="AA108" s="120">
        <v>68</v>
      </c>
      <c r="AB108" s="120">
        <v>14.5</v>
      </c>
      <c r="AC108" s="120">
        <v>107</v>
      </c>
      <c r="AD108" s="120">
        <v>1379</v>
      </c>
      <c r="AE108" s="120">
        <v>-9999</v>
      </c>
      <c r="AF108" s="120">
        <v>-9999</v>
      </c>
      <c r="AG108" s="120">
        <v>-9999</v>
      </c>
      <c r="AQ108" s="58">
        <v>4</v>
      </c>
      <c r="AR108" s="58">
        <v>115</v>
      </c>
      <c r="AS108" s="58">
        <v>25</v>
      </c>
      <c r="AT108" s="58" t="e">
        <f>AVERAGEIFS(Compressors!$S:$S,Compressors!$G:$G,AS108,Compressors!$I:$I,AR108,Compressors!$D:$D,AQ108)</f>
        <v>#DIV/0!</v>
      </c>
      <c r="AU108">
        <f>AU106+AV109*15</f>
        <v>22.740000534057621</v>
      </c>
      <c r="BB108" s="121">
        <v>30</v>
      </c>
      <c r="BC108" s="121">
        <v>21</v>
      </c>
      <c r="BD108" s="125">
        <v>115</v>
      </c>
      <c r="BE108" s="121"/>
      <c r="BF108" s="121"/>
      <c r="BG108" s="121"/>
      <c r="BH108" s="121"/>
      <c r="BI108" s="121"/>
      <c r="BJ108" s="121"/>
      <c r="BK108" s="121"/>
      <c r="BL108" s="121"/>
      <c r="BM108" s="121"/>
      <c r="BO108" s="131">
        <v>60</v>
      </c>
      <c r="BP108" s="139">
        <v>125</v>
      </c>
      <c r="BQ108" s="143" t="s">
        <v>492</v>
      </c>
    </row>
    <row r="109" spans="1:76" x14ac:dyDescent="0.25">
      <c r="A109" s="120">
        <v>108</v>
      </c>
      <c r="B109" s="120" t="b">
        <v>0</v>
      </c>
      <c r="C109" s="120">
        <v>0</v>
      </c>
      <c r="D109" s="61">
        <v>1</v>
      </c>
      <c r="E109" s="120">
        <v>1</v>
      </c>
      <c r="F109" s="120" t="s">
        <v>170</v>
      </c>
      <c r="G109" s="55">
        <v>25</v>
      </c>
      <c r="H109" s="120">
        <v>86</v>
      </c>
      <c r="I109" s="57">
        <v>140</v>
      </c>
      <c r="J109" s="120">
        <v>140</v>
      </c>
      <c r="K109" s="120">
        <v>3</v>
      </c>
      <c r="L109" s="120">
        <v>40</v>
      </c>
      <c r="M109" s="120">
        <v>15</v>
      </c>
      <c r="N109" s="120">
        <v>40</v>
      </c>
      <c r="O109" s="120">
        <v>2</v>
      </c>
      <c r="P109" s="120">
        <v>16.666999816894499</v>
      </c>
      <c r="Q109" s="120">
        <v>27.5</v>
      </c>
      <c r="R109" s="120">
        <v>22.700000762939499</v>
      </c>
      <c r="S109" s="148">
        <v>26.399999618530298</v>
      </c>
      <c r="T109" s="120">
        <v>57</v>
      </c>
      <c r="U109" s="120">
        <v>24</v>
      </c>
      <c r="V109" s="120">
        <v>-9999</v>
      </c>
      <c r="W109" s="120">
        <v>-9999</v>
      </c>
      <c r="X109" s="120">
        <v>-9999</v>
      </c>
      <c r="Y109" s="120">
        <v>-9999</v>
      </c>
      <c r="Z109" s="120">
        <v>-9999</v>
      </c>
      <c r="AA109" s="120">
        <v>68</v>
      </c>
      <c r="AB109" s="120">
        <v>14.5</v>
      </c>
      <c r="AC109" s="120">
        <v>108</v>
      </c>
      <c r="AD109" s="120">
        <v>1380</v>
      </c>
      <c r="AE109" s="120">
        <v>-9999</v>
      </c>
      <c r="AF109" s="120">
        <v>-9999</v>
      </c>
      <c r="AG109" s="120">
        <v>-9999</v>
      </c>
      <c r="AQ109" s="58">
        <v>4</v>
      </c>
      <c r="AR109" s="58">
        <v>125</v>
      </c>
      <c r="AS109" s="58">
        <v>25</v>
      </c>
      <c r="AT109" s="58">
        <f>AVERAGEIFS(Compressors!$S:$S,Compressors!$G:$G,AS109,Compressors!$I:$I,AR109,Compressors!$D:$D,AQ109)</f>
        <v>24.100000381469702</v>
      </c>
      <c r="AU109" s="58">
        <v>24.100000381469702</v>
      </c>
      <c r="AV109">
        <f>(AU109-AU106)/25</f>
        <v>0.13599998474120809</v>
      </c>
      <c r="AW109">
        <f>AU109/AU101</f>
        <v>0.96787150126384347</v>
      </c>
      <c r="AX109">
        <f>AVERAGE(AW109,AW106)</f>
        <v>0.9698512614990461</v>
      </c>
      <c r="AY109" t="s">
        <v>367</v>
      </c>
      <c r="BB109" s="121">
        <v>30</v>
      </c>
      <c r="BC109" s="121">
        <v>21</v>
      </c>
      <c r="BD109" s="125">
        <v>115</v>
      </c>
      <c r="BE109" s="121"/>
      <c r="BF109" s="121"/>
      <c r="BG109" s="121"/>
      <c r="BH109" s="121"/>
      <c r="BI109" s="121"/>
      <c r="BJ109" s="121"/>
      <c r="BK109" s="121"/>
      <c r="BL109" s="121"/>
      <c r="BM109" s="121"/>
      <c r="BO109" s="131">
        <v>60</v>
      </c>
      <c r="BP109" s="139">
        <v>125</v>
      </c>
      <c r="BQ109" s="143" t="s">
        <v>363</v>
      </c>
    </row>
    <row r="110" spans="1:76" x14ac:dyDescent="0.25">
      <c r="A110" s="120">
        <v>109</v>
      </c>
      <c r="B110" s="120" t="b">
        <v>0</v>
      </c>
      <c r="C110" s="120">
        <v>0</v>
      </c>
      <c r="D110" s="61">
        <v>1</v>
      </c>
      <c r="E110" s="120">
        <v>1</v>
      </c>
      <c r="F110" s="120" t="s">
        <v>170</v>
      </c>
      <c r="G110" s="55">
        <v>25</v>
      </c>
      <c r="H110" s="120">
        <v>82</v>
      </c>
      <c r="I110" s="57">
        <v>140</v>
      </c>
      <c r="J110" s="120">
        <v>150</v>
      </c>
      <c r="K110" s="120">
        <v>4</v>
      </c>
      <c r="L110" s="120">
        <v>100</v>
      </c>
      <c r="M110" s="120">
        <v>15</v>
      </c>
      <c r="N110" s="120">
        <v>40</v>
      </c>
      <c r="O110" s="120">
        <v>2</v>
      </c>
      <c r="P110" s="120">
        <v>-9999</v>
      </c>
      <c r="Q110" s="120">
        <v>26.299999237060501</v>
      </c>
      <c r="R110" s="120">
        <v>21.700000762939499</v>
      </c>
      <c r="S110" s="148">
        <v>26.399999618530298</v>
      </c>
      <c r="T110" s="120">
        <v>-9999</v>
      </c>
      <c r="U110" s="120">
        <v>24</v>
      </c>
      <c r="V110" s="120">
        <v>-9999</v>
      </c>
      <c r="W110" s="120">
        <v>-9999</v>
      </c>
      <c r="X110" s="120">
        <v>-9999</v>
      </c>
      <c r="Y110" s="120">
        <v>-9999</v>
      </c>
      <c r="Z110" s="120">
        <v>-9999</v>
      </c>
      <c r="AA110" s="120">
        <v>68</v>
      </c>
      <c r="AB110" s="120">
        <v>14.5</v>
      </c>
      <c r="AC110" s="120">
        <v>109</v>
      </c>
      <c r="AD110" s="120">
        <v>1381</v>
      </c>
      <c r="AE110" s="120">
        <v>-9999</v>
      </c>
      <c r="AF110" s="120">
        <v>-9999</v>
      </c>
      <c r="AG110" s="120">
        <v>-9999</v>
      </c>
      <c r="AQ110" s="58">
        <v>5</v>
      </c>
      <c r="AR110" s="58">
        <v>100</v>
      </c>
      <c r="AS110" s="58">
        <v>25</v>
      </c>
      <c r="AT110" s="58">
        <f>AVERAGEIFS(Compressors!$S:$S,Compressors!$G:$G,AS110,Compressors!$I:$I,AR110,Compressors!$D:$D,AQ110)</f>
        <v>17</v>
      </c>
      <c r="AU110" s="58">
        <v>17</v>
      </c>
      <c r="BB110" s="121">
        <v>30</v>
      </c>
      <c r="BC110" s="121">
        <v>21</v>
      </c>
      <c r="BD110" s="125">
        <v>115</v>
      </c>
      <c r="BE110" s="121"/>
      <c r="BF110" s="121"/>
      <c r="BG110" s="121"/>
      <c r="BH110" s="121"/>
      <c r="BI110" s="121"/>
      <c r="BJ110" s="121"/>
      <c r="BK110" s="121"/>
      <c r="BL110" s="121"/>
      <c r="BM110" s="121"/>
      <c r="BO110" s="130">
        <v>75</v>
      </c>
      <c r="BP110" s="139">
        <v>100</v>
      </c>
      <c r="BQ110" s="142" t="s">
        <v>108</v>
      </c>
    </row>
    <row r="111" spans="1:76" x14ac:dyDescent="0.25">
      <c r="A111" s="120">
        <v>110</v>
      </c>
      <c r="B111" s="120" t="b">
        <v>0</v>
      </c>
      <c r="C111" s="120">
        <v>0</v>
      </c>
      <c r="D111" s="61">
        <v>1</v>
      </c>
      <c r="E111" s="120">
        <v>1</v>
      </c>
      <c r="F111" s="120" t="s">
        <v>170</v>
      </c>
      <c r="G111" s="55">
        <v>25</v>
      </c>
      <c r="H111" s="120">
        <v>82</v>
      </c>
      <c r="I111" s="57">
        <v>140</v>
      </c>
      <c r="J111" s="120">
        <v>150</v>
      </c>
      <c r="K111" s="120">
        <v>11</v>
      </c>
      <c r="L111" s="120">
        <v>60</v>
      </c>
      <c r="M111" s="120">
        <v>15</v>
      </c>
      <c r="N111" s="120">
        <v>40</v>
      </c>
      <c r="O111" s="120">
        <v>2</v>
      </c>
      <c r="P111" s="120">
        <v>25</v>
      </c>
      <c r="Q111" s="120">
        <v>26.299999237060501</v>
      </c>
      <c r="R111" s="120">
        <v>21.700000762939499</v>
      </c>
      <c r="S111" s="148">
        <v>26.399999618530298</v>
      </c>
      <c r="T111" s="120">
        <v>70</v>
      </c>
      <c r="U111" s="120">
        <v>24</v>
      </c>
      <c r="V111" s="120">
        <v>-9999</v>
      </c>
      <c r="W111" s="120">
        <v>-9999</v>
      </c>
      <c r="X111" s="120">
        <v>-9999</v>
      </c>
      <c r="Y111" s="120">
        <v>-9999</v>
      </c>
      <c r="Z111" s="120">
        <v>-9999</v>
      </c>
      <c r="AA111" s="120">
        <v>68</v>
      </c>
      <c r="AB111" s="120">
        <v>14.5</v>
      </c>
      <c r="AC111" s="120">
        <v>110</v>
      </c>
      <c r="AD111" s="120">
        <v>1382</v>
      </c>
      <c r="AE111" s="120">
        <v>-9999</v>
      </c>
      <c r="AF111" s="120">
        <v>-9999</v>
      </c>
      <c r="AG111" s="120">
        <v>-9999</v>
      </c>
      <c r="AQ111" s="58">
        <v>5</v>
      </c>
      <c r="AR111" s="58">
        <v>110</v>
      </c>
      <c r="AS111" s="58">
        <v>25</v>
      </c>
      <c r="AT111" s="58">
        <f>AVERAGEIFS(Compressors!$S:$S,Compressors!$G:$G,AS111,Compressors!$I:$I,AR111,Compressors!$D:$D,AQ111)</f>
        <v>17.899999618530298</v>
      </c>
      <c r="AU111" s="58">
        <v>17.899999618530298</v>
      </c>
      <c r="BB111" s="121">
        <v>30</v>
      </c>
      <c r="BC111" s="121">
        <v>21</v>
      </c>
      <c r="BD111" s="125">
        <v>115</v>
      </c>
      <c r="BE111" s="121"/>
      <c r="BF111" s="121"/>
      <c r="BG111" s="121"/>
      <c r="BH111" s="121"/>
      <c r="BI111" s="121"/>
      <c r="BJ111" s="121"/>
      <c r="BK111" s="121"/>
      <c r="BL111" s="121"/>
      <c r="BM111" s="121"/>
      <c r="BO111" s="130">
        <v>75</v>
      </c>
      <c r="BP111" s="139">
        <v>100</v>
      </c>
      <c r="BQ111" s="143" t="s">
        <v>491</v>
      </c>
    </row>
    <row r="112" spans="1:76" x14ac:dyDescent="0.25">
      <c r="A112" s="120">
        <v>111</v>
      </c>
      <c r="B112" s="120" t="b">
        <v>0</v>
      </c>
      <c r="C112" s="120">
        <v>0</v>
      </c>
      <c r="D112" s="61">
        <v>1</v>
      </c>
      <c r="E112" s="120">
        <v>1</v>
      </c>
      <c r="F112" s="120" t="s">
        <v>170</v>
      </c>
      <c r="G112" s="55">
        <v>25</v>
      </c>
      <c r="H112" s="120">
        <v>81</v>
      </c>
      <c r="I112" s="57">
        <v>150</v>
      </c>
      <c r="J112" s="120">
        <v>160</v>
      </c>
      <c r="K112" s="120">
        <v>1</v>
      </c>
      <c r="L112" s="120">
        <v>50</v>
      </c>
      <c r="M112" s="120">
        <v>15</v>
      </c>
      <c r="N112" s="120">
        <v>40</v>
      </c>
      <c r="O112" s="120">
        <v>2</v>
      </c>
      <c r="P112" s="120">
        <v>5</v>
      </c>
      <c r="Q112" s="120">
        <v>26.299999237060501</v>
      </c>
      <c r="R112" s="120">
        <v>21.700000762939499</v>
      </c>
      <c r="S112" s="148">
        <v>26.899999618530298</v>
      </c>
      <c r="T112" s="120">
        <v>65</v>
      </c>
      <c r="U112" s="120">
        <v>23</v>
      </c>
      <c r="V112" s="120">
        <v>-9999</v>
      </c>
      <c r="W112" s="120">
        <v>-9999</v>
      </c>
      <c r="X112" s="120">
        <v>-9999</v>
      </c>
      <c r="Y112" s="120">
        <v>-9999</v>
      </c>
      <c r="Z112" s="120">
        <v>-9999</v>
      </c>
      <c r="AA112" s="120">
        <v>68</v>
      </c>
      <c r="AB112" s="120">
        <v>14.5</v>
      </c>
      <c r="AC112" s="120">
        <v>111</v>
      </c>
      <c r="AD112" s="120">
        <v>1383</v>
      </c>
      <c r="AE112" s="120">
        <v>-9999</v>
      </c>
      <c r="AF112" s="120">
        <v>-9999</v>
      </c>
      <c r="AG112" s="120">
        <v>-9999</v>
      </c>
      <c r="AQ112" s="58">
        <v>5</v>
      </c>
      <c r="AR112" s="58">
        <v>115</v>
      </c>
      <c r="AS112" s="58">
        <v>25</v>
      </c>
      <c r="AT112" s="58" t="e">
        <f>AVERAGEIFS(Compressors!$S:$S,Compressors!$G:$G,AS112,Compressors!$I:$I,AR112,Compressors!$D:$D,AQ112)</f>
        <v>#DIV/0!</v>
      </c>
      <c r="AU112">
        <f>AU110+AV113*15</f>
        <v>17.899999999999999</v>
      </c>
      <c r="BB112" s="121">
        <v>30</v>
      </c>
      <c r="BC112" s="121">
        <v>21</v>
      </c>
      <c r="BD112" s="125">
        <v>115</v>
      </c>
      <c r="BE112" s="121"/>
      <c r="BF112" s="121"/>
      <c r="BG112" s="121"/>
      <c r="BH112" s="121"/>
      <c r="BI112" s="121"/>
      <c r="BJ112" s="121"/>
      <c r="BK112" s="121"/>
      <c r="BL112" s="121"/>
      <c r="BM112" s="121"/>
      <c r="BO112" s="131">
        <v>75</v>
      </c>
      <c r="BP112" s="139">
        <v>100</v>
      </c>
      <c r="BQ112" s="143" t="s">
        <v>492</v>
      </c>
    </row>
    <row r="113" spans="1:69" x14ac:dyDescent="0.25">
      <c r="A113" s="120">
        <v>112</v>
      </c>
      <c r="B113" s="120" t="b">
        <v>0</v>
      </c>
      <c r="C113" s="120">
        <v>0</v>
      </c>
      <c r="D113" s="61">
        <v>1</v>
      </c>
      <c r="E113" s="120">
        <v>1</v>
      </c>
      <c r="F113" s="120" t="s">
        <v>170</v>
      </c>
      <c r="G113" s="55">
        <v>25</v>
      </c>
      <c r="H113" s="120">
        <v>84</v>
      </c>
      <c r="I113" s="57">
        <v>150</v>
      </c>
      <c r="J113" s="120">
        <v>150</v>
      </c>
      <c r="K113" s="120">
        <v>2</v>
      </c>
      <c r="L113" s="120">
        <v>50</v>
      </c>
      <c r="M113" s="120">
        <v>15</v>
      </c>
      <c r="N113" s="120">
        <v>40</v>
      </c>
      <c r="O113" s="120">
        <v>2</v>
      </c>
      <c r="P113" s="120">
        <v>20</v>
      </c>
      <c r="Q113" s="120">
        <v>27.5</v>
      </c>
      <c r="R113" s="120">
        <v>22.700000762939499</v>
      </c>
      <c r="S113" s="148">
        <v>26.899999618530298</v>
      </c>
      <c r="T113" s="120">
        <v>65</v>
      </c>
      <c r="U113" s="120">
        <v>23</v>
      </c>
      <c r="V113" s="120">
        <v>-9999</v>
      </c>
      <c r="W113" s="120">
        <v>-9999</v>
      </c>
      <c r="X113" s="120">
        <v>-9999</v>
      </c>
      <c r="Y113" s="120">
        <v>-9999</v>
      </c>
      <c r="Z113" s="120">
        <v>-9999</v>
      </c>
      <c r="AA113" s="120">
        <v>68</v>
      </c>
      <c r="AB113" s="120">
        <v>14.5</v>
      </c>
      <c r="AC113" s="120">
        <v>112</v>
      </c>
      <c r="AD113" s="120">
        <v>1384</v>
      </c>
      <c r="AE113" s="120">
        <v>-9999</v>
      </c>
      <c r="AF113" s="120">
        <v>-9999</v>
      </c>
      <c r="AG113" s="120">
        <v>-9999</v>
      </c>
      <c r="AQ113" s="58">
        <v>5</v>
      </c>
      <c r="AR113" s="58">
        <v>125</v>
      </c>
      <c r="AS113" s="58">
        <v>25</v>
      </c>
      <c r="AT113" s="58">
        <f>AVERAGEIFS(Compressors!$S:$S,Compressors!$G:$G,AS113,Compressors!$I:$I,AR113,Compressors!$D:$D,AQ113)</f>
        <v>18.5</v>
      </c>
      <c r="AU113" s="58">
        <v>18.5</v>
      </c>
      <c r="AV113">
        <f>(AU113-AU110)/25</f>
        <v>0.06</v>
      </c>
      <c r="BB113" s="121">
        <v>30</v>
      </c>
      <c r="BC113" s="121">
        <v>22.799999237060501</v>
      </c>
      <c r="BD113" s="125">
        <v>125</v>
      </c>
      <c r="BE113" s="121"/>
      <c r="BF113" s="121"/>
      <c r="BG113" s="121"/>
      <c r="BH113" s="121"/>
      <c r="BI113" s="121"/>
      <c r="BJ113" s="121"/>
      <c r="BK113" s="121"/>
      <c r="BL113" s="121"/>
      <c r="BM113" s="121"/>
      <c r="BO113" s="130">
        <v>75</v>
      </c>
      <c r="BP113" s="139">
        <v>100</v>
      </c>
      <c r="BQ113" s="143" t="s">
        <v>363</v>
      </c>
    </row>
    <row r="114" spans="1:69" x14ac:dyDescent="0.25">
      <c r="A114" s="120">
        <v>113</v>
      </c>
      <c r="B114" s="120" t="b">
        <v>0</v>
      </c>
      <c r="C114" s="120">
        <v>0</v>
      </c>
      <c r="D114" s="61">
        <v>1</v>
      </c>
      <c r="E114" s="120">
        <v>1</v>
      </c>
      <c r="F114" s="120" t="s">
        <v>170</v>
      </c>
      <c r="G114" s="55">
        <v>25</v>
      </c>
      <c r="H114" s="120">
        <v>84</v>
      </c>
      <c r="I114" s="57">
        <v>150</v>
      </c>
      <c r="J114" s="120">
        <v>150</v>
      </c>
      <c r="K114" s="120">
        <v>3</v>
      </c>
      <c r="L114" s="120">
        <v>40</v>
      </c>
      <c r="M114" s="120">
        <v>15</v>
      </c>
      <c r="N114" s="120">
        <v>40</v>
      </c>
      <c r="O114" s="120">
        <v>2</v>
      </c>
      <c r="P114" s="120">
        <v>16.666999816894499</v>
      </c>
      <c r="Q114" s="120">
        <v>27.5</v>
      </c>
      <c r="R114" s="120">
        <v>22.700000762939499</v>
      </c>
      <c r="S114" s="148">
        <v>26.899999618530298</v>
      </c>
      <c r="T114" s="120">
        <v>57</v>
      </c>
      <c r="U114" s="120">
        <v>23</v>
      </c>
      <c r="V114" s="120">
        <v>-9999</v>
      </c>
      <c r="W114" s="120">
        <v>-9999</v>
      </c>
      <c r="X114" s="120">
        <v>-9999</v>
      </c>
      <c r="Y114" s="120">
        <v>-9999</v>
      </c>
      <c r="Z114" s="120">
        <v>-9999</v>
      </c>
      <c r="AA114" s="120">
        <v>68</v>
      </c>
      <c r="AB114" s="120">
        <v>14.5</v>
      </c>
      <c r="AC114" s="120">
        <v>113</v>
      </c>
      <c r="AD114" s="120">
        <v>1385</v>
      </c>
      <c r="AE114" s="120">
        <v>-9999</v>
      </c>
      <c r="AF114" s="120">
        <v>-9999</v>
      </c>
      <c r="AG114" s="120">
        <v>-9999</v>
      </c>
      <c r="AQ114" s="58">
        <v>6</v>
      </c>
      <c r="AR114" s="58">
        <v>100</v>
      </c>
      <c r="AS114" s="58">
        <v>25</v>
      </c>
      <c r="AT114" s="58" t="e">
        <f>AVERAGEIFS(Compressors!$S:$S,Compressors!$G:$G,AS114,Compressors!$I:$I,AR114,Compressors!$D:$D,AQ114)</f>
        <v>#DIV/0!</v>
      </c>
      <c r="AU114" s="53"/>
      <c r="BB114" s="121">
        <v>30</v>
      </c>
      <c r="BC114" s="121">
        <v>22.799999237060501</v>
      </c>
      <c r="BD114" s="125">
        <v>125</v>
      </c>
      <c r="BE114" s="121"/>
      <c r="BF114" s="121"/>
      <c r="BG114" s="121"/>
      <c r="BH114" s="121"/>
      <c r="BI114" s="121"/>
      <c r="BJ114" s="121"/>
      <c r="BK114" s="121"/>
      <c r="BL114" s="121"/>
      <c r="BM114" s="121"/>
      <c r="BO114" s="130">
        <v>75</v>
      </c>
      <c r="BP114" s="139">
        <v>110</v>
      </c>
      <c r="BQ114" s="142" t="s">
        <v>108</v>
      </c>
    </row>
    <row r="115" spans="1:69" x14ac:dyDescent="0.25">
      <c r="A115" s="120">
        <v>114</v>
      </c>
      <c r="B115" s="120" t="b">
        <v>0</v>
      </c>
      <c r="C115" s="120">
        <v>0</v>
      </c>
      <c r="D115" s="61">
        <v>1</v>
      </c>
      <c r="E115" s="120">
        <v>1</v>
      </c>
      <c r="F115" s="120" t="s">
        <v>170</v>
      </c>
      <c r="G115" s="55">
        <v>25</v>
      </c>
      <c r="H115" s="120">
        <v>81</v>
      </c>
      <c r="I115" s="57">
        <v>150</v>
      </c>
      <c r="J115" s="120">
        <v>160</v>
      </c>
      <c r="K115" s="120">
        <v>4</v>
      </c>
      <c r="L115" s="120">
        <v>100</v>
      </c>
      <c r="M115" s="120">
        <v>15</v>
      </c>
      <c r="N115" s="120">
        <v>40</v>
      </c>
      <c r="O115" s="120">
        <v>2</v>
      </c>
      <c r="P115" s="120">
        <v>-9999</v>
      </c>
      <c r="Q115" s="120">
        <v>26.299999237060501</v>
      </c>
      <c r="R115" s="120">
        <v>21.700000762939499</v>
      </c>
      <c r="S115" s="148">
        <v>26.899999618530298</v>
      </c>
      <c r="T115" s="120">
        <v>-9999</v>
      </c>
      <c r="U115" s="120">
        <v>23</v>
      </c>
      <c r="V115" s="120">
        <v>-9999</v>
      </c>
      <c r="W115" s="120">
        <v>-9999</v>
      </c>
      <c r="X115" s="120">
        <v>-9999</v>
      </c>
      <c r="Y115" s="120">
        <v>-9999</v>
      </c>
      <c r="Z115" s="120">
        <v>-9999</v>
      </c>
      <c r="AA115" s="120">
        <v>68</v>
      </c>
      <c r="AB115" s="120">
        <v>14.5</v>
      </c>
      <c r="AC115" s="120">
        <v>114</v>
      </c>
      <c r="AD115" s="120">
        <v>1386</v>
      </c>
      <c r="AE115" s="120">
        <v>-9999</v>
      </c>
      <c r="AF115" s="120">
        <v>-9999</v>
      </c>
      <c r="AG115" s="120">
        <v>-9999</v>
      </c>
      <c r="AQ115" s="58">
        <v>6</v>
      </c>
      <c r="AR115" s="58">
        <v>110</v>
      </c>
      <c r="AS115" s="58">
        <v>25</v>
      </c>
      <c r="AT115" s="58" t="e">
        <f>AVERAGEIFS(Compressors!$S:$S,Compressors!$G:$G,AS115,Compressors!$I:$I,AR115,Compressors!$D:$D,AQ115)</f>
        <v>#DIV/0!</v>
      </c>
      <c r="AU115" s="53"/>
      <c r="BB115" s="121">
        <v>30</v>
      </c>
      <c r="BC115" s="121">
        <v>22.799999237060501</v>
      </c>
      <c r="BD115" s="125">
        <v>125</v>
      </c>
      <c r="BE115" s="121"/>
      <c r="BF115" s="121"/>
      <c r="BG115" s="121"/>
      <c r="BH115" s="121"/>
      <c r="BI115" s="121"/>
      <c r="BJ115" s="121"/>
      <c r="BK115" s="121"/>
      <c r="BL115" s="121"/>
      <c r="BM115" s="121"/>
      <c r="BO115" s="131">
        <v>75</v>
      </c>
      <c r="BP115" s="139">
        <v>110</v>
      </c>
      <c r="BQ115" s="143" t="s">
        <v>491</v>
      </c>
    </row>
    <row r="116" spans="1:69" x14ac:dyDescent="0.25">
      <c r="A116" s="120">
        <v>115</v>
      </c>
      <c r="B116" s="120" t="b">
        <v>0</v>
      </c>
      <c r="C116" s="120">
        <v>0</v>
      </c>
      <c r="D116" s="61">
        <v>1</v>
      </c>
      <c r="E116" s="120">
        <v>1</v>
      </c>
      <c r="F116" s="120" t="s">
        <v>170</v>
      </c>
      <c r="G116" s="55">
        <v>25</v>
      </c>
      <c r="H116" s="120">
        <v>81</v>
      </c>
      <c r="I116" s="57">
        <v>150</v>
      </c>
      <c r="J116" s="120">
        <v>160</v>
      </c>
      <c r="K116" s="120">
        <v>11</v>
      </c>
      <c r="L116" s="120">
        <v>60</v>
      </c>
      <c r="M116" s="120">
        <v>15</v>
      </c>
      <c r="N116" s="120">
        <v>40</v>
      </c>
      <c r="O116" s="120">
        <v>2</v>
      </c>
      <c r="P116" s="120">
        <v>25</v>
      </c>
      <c r="Q116" s="120">
        <v>26.299999237060501</v>
      </c>
      <c r="R116" s="120">
        <v>21.700000762939499</v>
      </c>
      <c r="S116" s="148">
        <v>26.899999618530298</v>
      </c>
      <c r="T116" s="120">
        <v>70</v>
      </c>
      <c r="U116" s="120">
        <v>23</v>
      </c>
      <c r="V116" s="120">
        <v>-9999</v>
      </c>
      <c r="W116" s="120">
        <v>-9999</v>
      </c>
      <c r="X116" s="120">
        <v>-9999</v>
      </c>
      <c r="Y116" s="120">
        <v>-9999</v>
      </c>
      <c r="Z116" s="120">
        <v>-9999</v>
      </c>
      <c r="AA116" s="120">
        <v>68</v>
      </c>
      <c r="AB116" s="120">
        <v>14.5</v>
      </c>
      <c r="AC116" s="120">
        <v>115</v>
      </c>
      <c r="AD116" s="120">
        <v>1387</v>
      </c>
      <c r="AE116" s="120">
        <v>-9999</v>
      </c>
      <c r="AF116" s="120">
        <v>-9999</v>
      </c>
      <c r="AG116" s="120">
        <v>-9999</v>
      </c>
      <c r="AQ116" s="58">
        <v>6</v>
      </c>
      <c r="AR116" s="58">
        <v>115</v>
      </c>
      <c r="AS116" s="58">
        <v>25</v>
      </c>
      <c r="AT116" s="58" t="e">
        <f>AVERAGEIFS(Compressors!$S:$S,Compressors!$G:$G,AS116,Compressors!$I:$I,AR116,Compressors!$D:$D,AQ116)</f>
        <v>#DIV/0!</v>
      </c>
      <c r="AU116" s="53"/>
      <c r="BB116" s="121">
        <v>30</v>
      </c>
      <c r="BC116" s="121">
        <v>22.799999237060501</v>
      </c>
      <c r="BD116" s="125">
        <v>125</v>
      </c>
      <c r="BE116" s="121"/>
      <c r="BF116" s="121"/>
      <c r="BG116" s="121"/>
      <c r="BH116" s="121"/>
      <c r="BI116" s="121"/>
      <c r="BJ116" s="121"/>
      <c r="BK116" s="121"/>
      <c r="BL116" s="121"/>
      <c r="BM116" s="121"/>
      <c r="BO116" s="130">
        <v>75</v>
      </c>
      <c r="BP116" s="139">
        <v>110</v>
      </c>
      <c r="BQ116" s="143" t="s">
        <v>492</v>
      </c>
    </row>
    <row r="117" spans="1:69" x14ac:dyDescent="0.25">
      <c r="A117" s="120">
        <v>116</v>
      </c>
      <c r="B117" s="120" t="b">
        <v>0</v>
      </c>
      <c r="C117" s="120">
        <v>0</v>
      </c>
      <c r="D117" s="61">
        <v>1</v>
      </c>
      <c r="E117" s="120">
        <v>1</v>
      </c>
      <c r="F117" s="120" t="s">
        <v>170</v>
      </c>
      <c r="G117" s="55">
        <v>25</v>
      </c>
      <c r="H117" s="120">
        <v>78</v>
      </c>
      <c r="I117" s="57">
        <v>175</v>
      </c>
      <c r="J117" s="120">
        <v>185</v>
      </c>
      <c r="K117" s="120">
        <v>1</v>
      </c>
      <c r="L117" s="120">
        <v>50</v>
      </c>
      <c r="M117" s="120">
        <v>15</v>
      </c>
      <c r="N117" s="120">
        <v>40</v>
      </c>
      <c r="O117" s="120">
        <v>2</v>
      </c>
      <c r="P117" s="120">
        <v>5</v>
      </c>
      <c r="Q117" s="120">
        <v>26.299999237060501</v>
      </c>
      <c r="R117" s="120">
        <v>21.700000762939499</v>
      </c>
      <c r="S117" s="148">
        <v>27.799999237060501</v>
      </c>
      <c r="T117" s="120">
        <v>65</v>
      </c>
      <c r="U117" s="120">
        <v>16</v>
      </c>
      <c r="V117" s="120">
        <v>-9999</v>
      </c>
      <c r="W117" s="120">
        <v>-9999</v>
      </c>
      <c r="X117" s="120">
        <v>-9999</v>
      </c>
      <c r="Y117" s="120">
        <v>-9999</v>
      </c>
      <c r="Z117" s="120">
        <v>-9999</v>
      </c>
      <c r="AA117" s="120">
        <v>68</v>
      </c>
      <c r="AB117" s="120">
        <v>14.5</v>
      </c>
      <c r="AC117" s="120">
        <v>116</v>
      </c>
      <c r="AD117" s="120">
        <v>1388</v>
      </c>
      <c r="AE117" s="120">
        <v>-9999</v>
      </c>
      <c r="AF117" s="120">
        <v>-9999</v>
      </c>
      <c r="AG117" s="120">
        <v>-9999</v>
      </c>
      <c r="AQ117" s="58">
        <v>6</v>
      </c>
      <c r="AR117" s="58">
        <v>125</v>
      </c>
      <c r="AS117" s="58">
        <v>25</v>
      </c>
      <c r="AT117" s="58" t="e">
        <f>AVERAGEIFS(Compressors!$S:$S,Compressors!$G:$G,AS117,Compressors!$I:$I,AR117,Compressors!$D:$D,AQ117)</f>
        <v>#DIV/0!</v>
      </c>
      <c r="AU117" s="53"/>
      <c r="BB117" s="121">
        <v>30</v>
      </c>
      <c r="BC117" s="121">
        <v>22.799999237060501</v>
      </c>
      <c r="BD117" s="125">
        <v>125</v>
      </c>
      <c r="BE117" s="121"/>
      <c r="BF117" s="121"/>
      <c r="BG117" s="121"/>
      <c r="BH117" s="121"/>
      <c r="BI117" s="121"/>
      <c r="BJ117" s="121"/>
      <c r="BK117" s="121"/>
      <c r="BL117" s="121"/>
      <c r="BM117" s="121"/>
      <c r="BO117" s="131">
        <v>75</v>
      </c>
      <c r="BP117" s="139">
        <v>110</v>
      </c>
      <c r="BQ117" s="143" t="s">
        <v>363</v>
      </c>
    </row>
    <row r="118" spans="1:69" x14ac:dyDescent="0.25">
      <c r="A118" s="120">
        <v>117</v>
      </c>
      <c r="B118" s="120" t="b">
        <v>0</v>
      </c>
      <c r="C118" s="120">
        <v>0</v>
      </c>
      <c r="D118" s="61">
        <v>1</v>
      </c>
      <c r="E118" s="120">
        <v>1</v>
      </c>
      <c r="F118" s="120" t="s">
        <v>170</v>
      </c>
      <c r="G118" s="55">
        <v>25</v>
      </c>
      <c r="H118" s="120">
        <v>82</v>
      </c>
      <c r="I118" s="57">
        <v>175</v>
      </c>
      <c r="J118" s="120">
        <v>175</v>
      </c>
      <c r="K118" s="120">
        <v>2</v>
      </c>
      <c r="L118" s="120">
        <v>50</v>
      </c>
      <c r="M118" s="120">
        <v>15</v>
      </c>
      <c r="N118" s="120">
        <v>40</v>
      </c>
      <c r="O118" s="120">
        <v>2</v>
      </c>
      <c r="P118" s="120">
        <v>20</v>
      </c>
      <c r="Q118" s="120">
        <v>27.5</v>
      </c>
      <c r="R118" s="120">
        <v>22.700000762939499</v>
      </c>
      <c r="S118" s="148">
        <v>27.799999237060501</v>
      </c>
      <c r="T118" s="120">
        <v>65</v>
      </c>
      <c r="U118" s="120">
        <v>16</v>
      </c>
      <c r="V118" s="120">
        <v>-9999</v>
      </c>
      <c r="W118" s="120">
        <v>-9999</v>
      </c>
      <c r="X118" s="120">
        <v>-9999</v>
      </c>
      <c r="Y118" s="120">
        <v>-9999</v>
      </c>
      <c r="Z118" s="120">
        <v>-9999</v>
      </c>
      <c r="AA118" s="120">
        <v>68</v>
      </c>
      <c r="AB118" s="120">
        <v>14.5</v>
      </c>
      <c r="AC118" s="120">
        <v>117</v>
      </c>
      <c r="AD118" s="120">
        <v>1389</v>
      </c>
      <c r="AE118" s="120">
        <v>-9999</v>
      </c>
      <c r="AF118" s="120">
        <v>-9999</v>
      </c>
      <c r="AG118" s="120">
        <v>-9999</v>
      </c>
      <c r="AQ118" s="51">
        <v>1</v>
      </c>
      <c r="AR118" s="51">
        <v>100</v>
      </c>
      <c r="AS118" s="51">
        <v>30</v>
      </c>
      <c r="AT118" s="51">
        <f>AVERAGEIFS(Compressors!$S:$S,Compressors!$G:$G,AS118,Compressors!$I:$I,AR118,Compressors!$D:$D,AQ118)</f>
        <v>19.399999618530298</v>
      </c>
      <c r="AU118" s="51">
        <v>19.399999999999999</v>
      </c>
      <c r="BB118" s="121">
        <v>40</v>
      </c>
      <c r="BC118" s="121">
        <v>19.5</v>
      </c>
      <c r="BD118" s="125">
        <v>100</v>
      </c>
      <c r="BE118" s="121"/>
      <c r="BF118" s="121"/>
      <c r="BG118" s="121"/>
      <c r="BH118" s="121"/>
      <c r="BI118" s="121"/>
      <c r="BJ118" s="121"/>
      <c r="BK118" s="121"/>
      <c r="BL118" s="121"/>
      <c r="BM118" s="121"/>
      <c r="BO118" s="130">
        <v>75</v>
      </c>
      <c r="BP118" s="139">
        <v>115</v>
      </c>
      <c r="BQ118" s="142" t="s">
        <v>108</v>
      </c>
    </row>
    <row r="119" spans="1:69" x14ac:dyDescent="0.25">
      <c r="A119" s="120">
        <v>118</v>
      </c>
      <c r="B119" s="120" t="b">
        <v>0</v>
      </c>
      <c r="C119" s="120">
        <v>0</v>
      </c>
      <c r="D119" s="61">
        <v>1</v>
      </c>
      <c r="E119" s="120">
        <v>1</v>
      </c>
      <c r="F119" s="120" t="s">
        <v>170</v>
      </c>
      <c r="G119" s="55">
        <v>25</v>
      </c>
      <c r="H119" s="120">
        <v>82</v>
      </c>
      <c r="I119" s="57">
        <v>175</v>
      </c>
      <c r="J119" s="120">
        <v>175</v>
      </c>
      <c r="K119" s="120">
        <v>3</v>
      </c>
      <c r="L119" s="120">
        <v>40</v>
      </c>
      <c r="M119" s="120">
        <v>15</v>
      </c>
      <c r="N119" s="120">
        <v>40</v>
      </c>
      <c r="O119" s="120">
        <v>2</v>
      </c>
      <c r="P119" s="120">
        <v>16.666999816894499</v>
      </c>
      <c r="Q119" s="120">
        <v>27.5</v>
      </c>
      <c r="R119" s="120">
        <v>22.700000762939499</v>
      </c>
      <c r="S119" s="148">
        <v>27.799999237060501</v>
      </c>
      <c r="T119" s="120">
        <v>57</v>
      </c>
      <c r="U119" s="120">
        <v>16</v>
      </c>
      <c r="V119" s="120">
        <v>-9999</v>
      </c>
      <c r="W119" s="120">
        <v>-9999</v>
      </c>
      <c r="X119" s="120">
        <v>-9999</v>
      </c>
      <c r="Y119" s="120">
        <v>-9999</v>
      </c>
      <c r="Z119" s="120">
        <v>-9999</v>
      </c>
      <c r="AA119" s="120">
        <v>68</v>
      </c>
      <c r="AB119" s="120">
        <v>14.5</v>
      </c>
      <c r="AC119" s="120">
        <v>118</v>
      </c>
      <c r="AD119" s="120">
        <v>1390</v>
      </c>
      <c r="AE119" s="120">
        <v>-9999</v>
      </c>
      <c r="AF119" s="120">
        <v>-9999</v>
      </c>
      <c r="AG119" s="120">
        <v>-9999</v>
      </c>
      <c r="AQ119" s="51">
        <v>1</v>
      </c>
      <c r="AR119" s="51">
        <v>110</v>
      </c>
      <c r="AS119" s="51">
        <v>30</v>
      </c>
      <c r="AT119" s="51" t="e">
        <f>AVERAGEIFS(Compressors!$S:$S,Compressors!$G:$G,AS119,Compressors!$I:$I,AR119,Compressors!$D:$D,AQ119)</f>
        <v>#DIV/0!</v>
      </c>
      <c r="AU119" s="30">
        <v>20.46</v>
      </c>
      <c r="BB119" s="121">
        <v>40</v>
      </c>
      <c r="BC119" s="121">
        <v>19.5</v>
      </c>
      <c r="BD119" s="125">
        <v>100</v>
      </c>
      <c r="BE119" s="121"/>
      <c r="BF119" s="121"/>
      <c r="BG119" s="121"/>
      <c r="BH119" s="121"/>
      <c r="BI119" s="121"/>
      <c r="BJ119" s="121"/>
      <c r="BK119" s="121"/>
      <c r="BL119" s="121"/>
      <c r="BM119" s="121"/>
      <c r="BO119" s="130">
        <v>75</v>
      </c>
      <c r="BP119" s="139">
        <v>115</v>
      </c>
      <c r="BQ119" s="143" t="s">
        <v>491</v>
      </c>
    </row>
    <row r="120" spans="1:69" x14ac:dyDescent="0.25">
      <c r="A120" s="120">
        <v>119</v>
      </c>
      <c r="B120" s="120" t="b">
        <v>0</v>
      </c>
      <c r="C120" s="120">
        <v>0</v>
      </c>
      <c r="D120" s="61">
        <v>1</v>
      </c>
      <c r="E120" s="120">
        <v>1</v>
      </c>
      <c r="F120" s="120" t="s">
        <v>170</v>
      </c>
      <c r="G120" s="55">
        <v>25</v>
      </c>
      <c r="H120" s="120">
        <v>78</v>
      </c>
      <c r="I120" s="57">
        <v>175</v>
      </c>
      <c r="J120" s="120">
        <v>185</v>
      </c>
      <c r="K120" s="120">
        <v>4</v>
      </c>
      <c r="L120" s="120">
        <v>100</v>
      </c>
      <c r="M120" s="120">
        <v>15</v>
      </c>
      <c r="N120" s="120">
        <v>40</v>
      </c>
      <c r="O120" s="120">
        <v>2</v>
      </c>
      <c r="P120" s="120">
        <v>-9999</v>
      </c>
      <c r="Q120" s="120">
        <v>26.299999237060501</v>
      </c>
      <c r="R120" s="120">
        <v>21.700000762939499</v>
      </c>
      <c r="S120" s="148">
        <v>27.799999237060501</v>
      </c>
      <c r="T120" s="120">
        <v>-9999</v>
      </c>
      <c r="U120" s="120">
        <v>16</v>
      </c>
      <c r="V120" s="120">
        <v>-9999</v>
      </c>
      <c r="W120" s="120">
        <v>-9999</v>
      </c>
      <c r="X120" s="120">
        <v>-9999</v>
      </c>
      <c r="Y120" s="120">
        <v>-9999</v>
      </c>
      <c r="Z120" s="120">
        <v>-9999</v>
      </c>
      <c r="AA120" s="120">
        <v>68</v>
      </c>
      <c r="AB120" s="120">
        <v>14.5</v>
      </c>
      <c r="AC120" s="120">
        <v>119</v>
      </c>
      <c r="AD120" s="120">
        <v>1391</v>
      </c>
      <c r="AE120" s="120">
        <v>-9999</v>
      </c>
      <c r="AF120" s="120">
        <v>-9999</v>
      </c>
      <c r="AG120" s="120">
        <v>-9999</v>
      </c>
      <c r="AQ120" s="51">
        <v>1</v>
      </c>
      <c r="AR120" s="51">
        <v>115</v>
      </c>
      <c r="AS120" s="51">
        <v>30</v>
      </c>
      <c r="AT120" s="51">
        <f>AVERAGEIFS(Compressors!$S:$S,Compressors!$G:$G,AS120,Compressors!$I:$I,AR120,Compressors!$D:$D,AQ120)</f>
        <v>21</v>
      </c>
      <c r="AU120" s="51">
        <v>21</v>
      </c>
      <c r="BB120" s="121">
        <v>40</v>
      </c>
      <c r="BC120" s="121">
        <v>19.5</v>
      </c>
      <c r="BD120" s="125">
        <v>100</v>
      </c>
      <c r="BE120" s="121"/>
      <c r="BF120" s="121"/>
      <c r="BG120" s="121"/>
      <c r="BH120" s="121"/>
      <c r="BI120" s="121"/>
      <c r="BJ120" s="121"/>
      <c r="BK120" s="121"/>
      <c r="BL120" s="121"/>
      <c r="BM120" s="121"/>
      <c r="BO120" s="131">
        <v>75</v>
      </c>
      <c r="BP120" s="139">
        <v>115</v>
      </c>
      <c r="BQ120" s="143" t="s">
        <v>363</v>
      </c>
    </row>
    <row r="121" spans="1:69" x14ac:dyDescent="0.25">
      <c r="A121" s="120">
        <v>120</v>
      </c>
      <c r="B121" s="120" t="b">
        <v>0</v>
      </c>
      <c r="C121" s="120">
        <v>0</v>
      </c>
      <c r="D121" s="61">
        <v>1</v>
      </c>
      <c r="E121" s="120">
        <v>1</v>
      </c>
      <c r="F121" s="120" t="s">
        <v>170</v>
      </c>
      <c r="G121" s="55">
        <v>25</v>
      </c>
      <c r="H121" s="120">
        <v>78</v>
      </c>
      <c r="I121" s="57">
        <v>175</v>
      </c>
      <c r="J121" s="120">
        <v>185</v>
      </c>
      <c r="K121" s="120">
        <v>11</v>
      </c>
      <c r="L121" s="120">
        <v>60</v>
      </c>
      <c r="M121" s="120">
        <v>15</v>
      </c>
      <c r="N121" s="120">
        <v>40</v>
      </c>
      <c r="O121" s="120">
        <v>2</v>
      </c>
      <c r="P121" s="120">
        <v>25</v>
      </c>
      <c r="Q121" s="120">
        <v>26.299999237060501</v>
      </c>
      <c r="R121" s="120">
        <v>21.700000762939499</v>
      </c>
      <c r="S121" s="148">
        <v>27.799999237060501</v>
      </c>
      <c r="T121" s="120">
        <v>70</v>
      </c>
      <c r="U121" s="120">
        <v>16</v>
      </c>
      <c r="V121" s="120">
        <v>-9999</v>
      </c>
      <c r="W121" s="120">
        <v>-9999</v>
      </c>
      <c r="X121" s="120">
        <v>-9999</v>
      </c>
      <c r="Y121" s="120">
        <v>-9999</v>
      </c>
      <c r="Z121" s="120">
        <v>-9999</v>
      </c>
      <c r="AA121" s="120">
        <v>68</v>
      </c>
      <c r="AB121" s="120">
        <v>14.5</v>
      </c>
      <c r="AC121" s="120">
        <v>120</v>
      </c>
      <c r="AD121" s="120">
        <v>1392</v>
      </c>
      <c r="AE121" s="120">
        <v>-9999</v>
      </c>
      <c r="AF121" s="120">
        <v>-9999</v>
      </c>
      <c r="AG121" s="120">
        <v>-9999</v>
      </c>
      <c r="AQ121" s="51">
        <v>1</v>
      </c>
      <c r="AR121" s="51">
        <v>125</v>
      </c>
      <c r="AS121" s="51">
        <v>30</v>
      </c>
      <c r="AT121" s="51">
        <f>AVERAGEIFS(Compressors!$S:$S,Compressors!$G:$G,AS121,Compressors!$I:$I,AR121,Compressors!$D:$D,AQ121)</f>
        <v>22.799999237060501</v>
      </c>
      <c r="AU121" s="51">
        <v>22.8</v>
      </c>
      <c r="BB121" s="121">
        <v>40</v>
      </c>
      <c r="BC121" s="121">
        <v>19.5</v>
      </c>
      <c r="BD121" s="125">
        <v>100</v>
      </c>
      <c r="BE121" s="121"/>
      <c r="BF121" s="121"/>
      <c r="BG121" s="121"/>
      <c r="BH121" s="121"/>
      <c r="BI121" s="121"/>
      <c r="BJ121" s="121"/>
      <c r="BK121" s="121"/>
      <c r="BL121" s="121"/>
      <c r="BM121" s="121"/>
      <c r="BO121" s="130">
        <v>75</v>
      </c>
      <c r="BP121" s="139">
        <v>125</v>
      </c>
      <c r="BQ121" s="142" t="s">
        <v>108</v>
      </c>
    </row>
    <row r="122" spans="1:69" x14ac:dyDescent="0.25">
      <c r="A122" s="120">
        <v>121</v>
      </c>
      <c r="B122" s="120" t="b">
        <v>0</v>
      </c>
      <c r="C122" s="120">
        <v>0</v>
      </c>
      <c r="D122" s="61">
        <v>1</v>
      </c>
      <c r="E122" s="120">
        <v>1</v>
      </c>
      <c r="F122" s="120" t="s">
        <v>170</v>
      </c>
      <c r="G122" s="55">
        <v>25</v>
      </c>
      <c r="H122" s="120">
        <v>58</v>
      </c>
      <c r="I122" s="57">
        <v>200</v>
      </c>
      <c r="J122" s="120">
        <v>210</v>
      </c>
      <c r="K122" s="120">
        <v>1</v>
      </c>
      <c r="L122" s="120">
        <v>50</v>
      </c>
      <c r="M122" s="120">
        <v>15</v>
      </c>
      <c r="N122" s="120">
        <v>40</v>
      </c>
      <c r="O122" s="120">
        <v>2</v>
      </c>
      <c r="P122" s="120">
        <v>5</v>
      </c>
      <c r="Q122" s="120">
        <v>26.299999237060501</v>
      </c>
      <c r="R122" s="120">
        <v>21.700000762939499</v>
      </c>
      <c r="S122" s="148">
        <v>37.5</v>
      </c>
      <c r="T122" s="120">
        <v>65</v>
      </c>
      <c r="U122" s="120">
        <v>14</v>
      </c>
      <c r="V122" s="120">
        <v>-9999</v>
      </c>
      <c r="W122" s="120">
        <v>-9999</v>
      </c>
      <c r="X122" s="120">
        <v>-9999</v>
      </c>
      <c r="Y122" s="120">
        <v>-9999</v>
      </c>
      <c r="Z122" s="120">
        <v>-9999</v>
      </c>
      <c r="AA122" s="120">
        <v>68</v>
      </c>
      <c r="AB122" s="120">
        <v>14.5</v>
      </c>
      <c r="AC122" s="120">
        <v>121</v>
      </c>
      <c r="AD122" s="120">
        <v>1393</v>
      </c>
      <c r="AE122" s="120">
        <v>-9999</v>
      </c>
      <c r="AF122" s="120">
        <v>-9999</v>
      </c>
      <c r="AG122" s="120">
        <v>-9999</v>
      </c>
      <c r="AQ122" s="51">
        <v>2</v>
      </c>
      <c r="AR122" s="51">
        <v>100</v>
      </c>
      <c r="AS122" s="51">
        <v>30</v>
      </c>
      <c r="AT122" s="51" t="e">
        <f>AVERAGEIFS(Compressors!$S:$S,Compressors!$G:$G,AS122,Compressors!$I:$I,AR122,Compressors!$D:$D,AQ122)</f>
        <v>#DIV/0!</v>
      </c>
      <c r="AU122" s="65">
        <f>AU118*0.9</f>
        <v>17.46</v>
      </c>
      <c r="BB122" s="121">
        <v>40</v>
      </c>
      <c r="BC122" s="121">
        <v>19.5</v>
      </c>
      <c r="BD122" s="125">
        <v>100</v>
      </c>
      <c r="BE122" s="121"/>
      <c r="BF122" s="121"/>
      <c r="BG122" s="121"/>
      <c r="BH122" s="121"/>
      <c r="BI122" s="121"/>
      <c r="BJ122" s="121"/>
      <c r="BK122" s="121"/>
      <c r="BL122" s="121"/>
      <c r="BM122" s="121"/>
      <c r="BO122" s="130">
        <v>75</v>
      </c>
      <c r="BP122" s="139">
        <v>125</v>
      </c>
      <c r="BQ122" s="143" t="s">
        <v>491</v>
      </c>
    </row>
    <row r="123" spans="1:69" x14ac:dyDescent="0.25">
      <c r="A123" s="120">
        <v>122</v>
      </c>
      <c r="B123" s="120" t="b">
        <v>0</v>
      </c>
      <c r="C123" s="120">
        <v>0</v>
      </c>
      <c r="D123" s="61">
        <v>1</v>
      </c>
      <c r="E123" s="120">
        <v>1</v>
      </c>
      <c r="F123" s="120" t="s">
        <v>170</v>
      </c>
      <c r="G123" s="55">
        <v>25</v>
      </c>
      <c r="H123" s="120">
        <v>61</v>
      </c>
      <c r="I123" s="57">
        <v>200</v>
      </c>
      <c r="J123" s="120">
        <v>200</v>
      </c>
      <c r="K123" s="120">
        <v>2</v>
      </c>
      <c r="L123" s="120">
        <v>50</v>
      </c>
      <c r="M123" s="120">
        <v>15</v>
      </c>
      <c r="N123" s="120">
        <v>40</v>
      </c>
      <c r="O123" s="120">
        <v>2</v>
      </c>
      <c r="P123" s="120">
        <v>20</v>
      </c>
      <c r="Q123" s="120">
        <v>27.5</v>
      </c>
      <c r="R123" s="120">
        <v>22.700000762939499</v>
      </c>
      <c r="S123" s="148">
        <v>37.5</v>
      </c>
      <c r="T123" s="120">
        <v>65</v>
      </c>
      <c r="U123" s="120">
        <v>14</v>
      </c>
      <c r="V123" s="120">
        <v>-9999</v>
      </c>
      <c r="W123" s="120">
        <v>-9999</v>
      </c>
      <c r="X123" s="120">
        <v>-9999</v>
      </c>
      <c r="Y123" s="120">
        <v>-9999</v>
      </c>
      <c r="Z123" s="120">
        <v>-9999</v>
      </c>
      <c r="AA123" s="120">
        <v>68</v>
      </c>
      <c r="AB123" s="120">
        <v>14.5</v>
      </c>
      <c r="AC123" s="120">
        <v>122</v>
      </c>
      <c r="AD123" s="120">
        <v>1394</v>
      </c>
      <c r="AE123" s="120">
        <v>-9999</v>
      </c>
      <c r="AF123" s="120">
        <v>-9999</v>
      </c>
      <c r="AG123" s="120">
        <v>-9999</v>
      </c>
      <c r="AQ123" s="51">
        <v>2</v>
      </c>
      <c r="AR123" s="51">
        <v>110</v>
      </c>
      <c r="AS123" s="51">
        <v>30</v>
      </c>
      <c r="AT123" s="51" t="e">
        <f>AVERAGEIFS(Compressors!$S:$S,Compressors!$G:$G,AS123,Compressors!$I:$I,AR123,Compressors!$D:$D,AQ123)</f>
        <v>#DIV/0!</v>
      </c>
      <c r="AU123" s="65">
        <f>AU119*0.9</f>
        <v>18.414000000000001</v>
      </c>
      <c r="BB123" s="121">
        <v>40</v>
      </c>
      <c r="BC123" s="121">
        <v>21</v>
      </c>
      <c r="BD123" s="125">
        <v>115</v>
      </c>
      <c r="BE123" s="121"/>
      <c r="BF123" s="121"/>
      <c r="BG123" s="121"/>
      <c r="BH123" s="121"/>
      <c r="BI123" s="121"/>
      <c r="BJ123" s="121"/>
      <c r="BK123" s="121"/>
      <c r="BL123" s="121"/>
      <c r="BM123" s="121"/>
      <c r="BO123" s="131">
        <v>75</v>
      </c>
      <c r="BP123" s="139">
        <v>125</v>
      </c>
      <c r="BQ123" s="143" t="s">
        <v>492</v>
      </c>
    </row>
    <row r="124" spans="1:69" x14ac:dyDescent="0.25">
      <c r="A124" s="120">
        <v>123</v>
      </c>
      <c r="B124" s="120" t="b">
        <v>0</v>
      </c>
      <c r="C124" s="120">
        <v>0</v>
      </c>
      <c r="D124" s="61">
        <v>1</v>
      </c>
      <c r="E124" s="120">
        <v>1</v>
      </c>
      <c r="F124" s="120" t="s">
        <v>170</v>
      </c>
      <c r="G124" s="55">
        <v>25</v>
      </c>
      <c r="H124" s="120">
        <v>61</v>
      </c>
      <c r="I124" s="57">
        <v>200</v>
      </c>
      <c r="J124" s="120">
        <v>200</v>
      </c>
      <c r="K124" s="120">
        <v>3</v>
      </c>
      <c r="L124" s="120">
        <v>40</v>
      </c>
      <c r="M124" s="120">
        <v>15</v>
      </c>
      <c r="N124" s="120">
        <v>40</v>
      </c>
      <c r="O124" s="120">
        <v>2</v>
      </c>
      <c r="P124" s="120">
        <v>16.666999816894499</v>
      </c>
      <c r="Q124" s="120">
        <v>27.5</v>
      </c>
      <c r="R124" s="120">
        <v>22.700000762939499</v>
      </c>
      <c r="S124" s="148">
        <v>37.5</v>
      </c>
      <c r="T124" s="120">
        <v>57</v>
      </c>
      <c r="U124" s="120">
        <v>14</v>
      </c>
      <c r="V124" s="120">
        <v>-9999</v>
      </c>
      <c r="W124" s="120">
        <v>-9999</v>
      </c>
      <c r="X124" s="120">
        <v>-9999</v>
      </c>
      <c r="Y124" s="120">
        <v>-9999</v>
      </c>
      <c r="Z124" s="120">
        <v>-9999</v>
      </c>
      <c r="AA124" s="120">
        <v>68</v>
      </c>
      <c r="AB124" s="120">
        <v>14.5</v>
      </c>
      <c r="AC124" s="120">
        <v>123</v>
      </c>
      <c r="AD124" s="120">
        <v>1395</v>
      </c>
      <c r="AE124" s="120">
        <v>-9999</v>
      </c>
      <c r="AF124" s="120">
        <v>-9999</v>
      </c>
      <c r="AG124" s="120">
        <v>-9999</v>
      </c>
      <c r="AQ124" s="51">
        <v>2</v>
      </c>
      <c r="AR124" s="51">
        <v>115</v>
      </c>
      <c r="AS124" s="51">
        <v>30</v>
      </c>
      <c r="AT124" s="51" t="e">
        <f>AVERAGEIFS(Compressors!$S:$S,Compressors!$G:$G,AS124,Compressors!$I:$I,AR124,Compressors!$D:$D,AQ124)</f>
        <v>#DIV/0!</v>
      </c>
      <c r="AU124" s="65">
        <f>AU120*0.9</f>
        <v>18.900000000000002</v>
      </c>
      <c r="BB124" s="121">
        <v>40</v>
      </c>
      <c r="BC124" s="121">
        <v>21</v>
      </c>
      <c r="BD124" s="125">
        <v>115</v>
      </c>
      <c r="BE124" s="121"/>
      <c r="BF124" s="121"/>
      <c r="BG124" s="121"/>
      <c r="BH124" s="121"/>
      <c r="BI124" s="121"/>
      <c r="BJ124" s="121"/>
      <c r="BK124" s="121"/>
      <c r="BL124" s="121"/>
      <c r="BM124" s="121"/>
      <c r="BO124" s="130">
        <v>75</v>
      </c>
      <c r="BP124" s="139">
        <v>125</v>
      </c>
      <c r="BQ124" s="143" t="s">
        <v>363</v>
      </c>
    </row>
    <row r="125" spans="1:69" x14ac:dyDescent="0.25">
      <c r="A125" s="120">
        <v>124</v>
      </c>
      <c r="B125" s="120" t="b">
        <v>0</v>
      </c>
      <c r="C125" s="120">
        <v>0</v>
      </c>
      <c r="D125" s="61">
        <v>1</v>
      </c>
      <c r="E125" s="120">
        <v>1</v>
      </c>
      <c r="F125" s="120" t="s">
        <v>170</v>
      </c>
      <c r="G125" s="55">
        <v>25</v>
      </c>
      <c r="H125" s="120">
        <v>58</v>
      </c>
      <c r="I125" s="57">
        <v>200</v>
      </c>
      <c r="J125" s="120">
        <v>210</v>
      </c>
      <c r="K125" s="120">
        <v>4</v>
      </c>
      <c r="L125" s="120">
        <v>100</v>
      </c>
      <c r="M125" s="120">
        <v>15</v>
      </c>
      <c r="N125" s="120">
        <v>40</v>
      </c>
      <c r="O125" s="120">
        <v>2</v>
      </c>
      <c r="P125" s="120">
        <v>-9999</v>
      </c>
      <c r="Q125" s="120">
        <v>26.299999237060501</v>
      </c>
      <c r="R125" s="120">
        <v>21.700000762939499</v>
      </c>
      <c r="S125" s="148">
        <v>37.5</v>
      </c>
      <c r="T125" s="120">
        <v>-9999</v>
      </c>
      <c r="U125" s="120">
        <v>14</v>
      </c>
      <c r="V125" s="120">
        <v>-9999</v>
      </c>
      <c r="W125" s="120">
        <v>-9999</v>
      </c>
      <c r="X125" s="120">
        <v>-9999</v>
      </c>
      <c r="Y125" s="120">
        <v>-9999</v>
      </c>
      <c r="Z125" s="120">
        <v>-9999</v>
      </c>
      <c r="AA125" s="120">
        <v>68</v>
      </c>
      <c r="AB125" s="120">
        <v>14.5</v>
      </c>
      <c r="AC125" s="120">
        <v>124</v>
      </c>
      <c r="AD125" s="120">
        <v>1396</v>
      </c>
      <c r="AE125" s="120">
        <v>-9999</v>
      </c>
      <c r="AF125" s="120">
        <v>-9999</v>
      </c>
      <c r="AG125" s="120">
        <v>-9999</v>
      </c>
      <c r="AQ125" s="51">
        <v>2</v>
      </c>
      <c r="AR125" s="51">
        <v>125</v>
      </c>
      <c r="AS125" s="51">
        <v>30</v>
      </c>
      <c r="AT125" s="51" t="e">
        <f>AVERAGEIFS(Compressors!$S:$S,Compressors!$G:$G,AS125,Compressors!$I:$I,AR125,Compressors!$D:$D,AQ125)</f>
        <v>#DIV/0!</v>
      </c>
      <c r="AU125" s="65">
        <f>AU121*0.9</f>
        <v>20.52</v>
      </c>
      <c r="BB125" s="121">
        <v>40</v>
      </c>
      <c r="BC125" s="121">
        <v>21</v>
      </c>
      <c r="BD125" s="125">
        <v>115</v>
      </c>
      <c r="BE125" s="121"/>
      <c r="BF125" s="121"/>
      <c r="BG125" s="121"/>
      <c r="BH125" s="121"/>
      <c r="BI125" s="121"/>
      <c r="BJ125" s="121"/>
      <c r="BK125" s="121"/>
      <c r="BL125" s="121"/>
      <c r="BM125" s="121"/>
      <c r="BO125" s="130">
        <v>100</v>
      </c>
      <c r="BP125" s="139">
        <v>100</v>
      </c>
      <c r="BQ125" s="142" t="s">
        <v>108</v>
      </c>
    </row>
    <row r="126" spans="1:69" x14ac:dyDescent="0.25">
      <c r="A126" s="120">
        <v>125</v>
      </c>
      <c r="B126" s="120" t="b">
        <v>0</v>
      </c>
      <c r="C126" s="120">
        <v>0</v>
      </c>
      <c r="D126" s="61">
        <v>1</v>
      </c>
      <c r="E126" s="120">
        <v>1</v>
      </c>
      <c r="F126" s="120" t="s">
        <v>170</v>
      </c>
      <c r="G126" s="55">
        <v>25</v>
      </c>
      <c r="H126" s="120">
        <v>58</v>
      </c>
      <c r="I126" s="57">
        <v>200</v>
      </c>
      <c r="J126" s="120">
        <v>210</v>
      </c>
      <c r="K126" s="120">
        <v>11</v>
      </c>
      <c r="L126" s="120">
        <v>60</v>
      </c>
      <c r="M126" s="120">
        <v>15</v>
      </c>
      <c r="N126" s="120">
        <v>40</v>
      </c>
      <c r="O126" s="120">
        <v>2</v>
      </c>
      <c r="P126" s="120">
        <v>25</v>
      </c>
      <c r="Q126" s="120">
        <v>26.299999237060501</v>
      </c>
      <c r="R126" s="120">
        <v>21.700000762939499</v>
      </c>
      <c r="S126" s="148">
        <v>37.5</v>
      </c>
      <c r="T126" s="120">
        <v>70</v>
      </c>
      <c r="U126" s="120">
        <v>14</v>
      </c>
      <c r="V126" s="120">
        <v>-9999</v>
      </c>
      <c r="W126" s="120">
        <v>-9999</v>
      </c>
      <c r="X126" s="120">
        <v>-9999</v>
      </c>
      <c r="Y126" s="120">
        <v>-9999</v>
      </c>
      <c r="Z126" s="120">
        <v>-9999</v>
      </c>
      <c r="AA126" s="120">
        <v>68</v>
      </c>
      <c r="AB126" s="120">
        <v>14.5</v>
      </c>
      <c r="AC126" s="120">
        <v>125</v>
      </c>
      <c r="AD126" s="120">
        <v>1397</v>
      </c>
      <c r="AE126" s="120">
        <v>-9999</v>
      </c>
      <c r="AF126" s="120">
        <v>-9999</v>
      </c>
      <c r="AG126" s="120">
        <v>-9999</v>
      </c>
      <c r="AQ126" s="51">
        <v>4</v>
      </c>
      <c r="AR126" s="51">
        <v>100</v>
      </c>
      <c r="AS126" s="51">
        <v>30</v>
      </c>
      <c r="AT126" s="51">
        <f>AVERAGEIFS(Compressors!$S:$S,Compressors!$G:$G,AS126,Compressors!$I:$I,AR126,Compressors!$D:$D,AQ126)</f>
        <v>20.5</v>
      </c>
      <c r="AU126" s="51">
        <v>20.5</v>
      </c>
      <c r="AW126">
        <f>AU126/AU118</f>
        <v>1.0567010309278351</v>
      </c>
      <c r="BB126" s="121">
        <v>40</v>
      </c>
      <c r="BC126" s="121">
        <v>21</v>
      </c>
      <c r="BD126" s="125">
        <v>115</v>
      </c>
      <c r="BE126" s="121"/>
      <c r="BF126" s="121"/>
      <c r="BG126" s="121"/>
      <c r="BH126" s="121"/>
      <c r="BI126" s="121"/>
      <c r="BJ126" s="121"/>
      <c r="BK126" s="121"/>
      <c r="BL126" s="121"/>
      <c r="BM126" s="121"/>
      <c r="BO126" s="131">
        <v>100</v>
      </c>
      <c r="BP126" s="139">
        <v>100</v>
      </c>
      <c r="BQ126" s="143" t="s">
        <v>491</v>
      </c>
    </row>
    <row r="127" spans="1:69" x14ac:dyDescent="0.25">
      <c r="A127" s="120">
        <v>126</v>
      </c>
      <c r="B127" s="120" t="b">
        <v>0</v>
      </c>
      <c r="C127" s="120">
        <v>0</v>
      </c>
      <c r="D127" s="61">
        <v>1</v>
      </c>
      <c r="E127" s="120">
        <v>1</v>
      </c>
      <c r="F127" s="120" t="s">
        <v>171</v>
      </c>
      <c r="G127" s="55">
        <v>30</v>
      </c>
      <c r="H127" s="120">
        <v>133</v>
      </c>
      <c r="I127" s="57">
        <v>100</v>
      </c>
      <c r="J127" s="120">
        <v>110</v>
      </c>
      <c r="K127" s="120">
        <v>1</v>
      </c>
      <c r="L127" s="120">
        <v>50</v>
      </c>
      <c r="M127" s="120">
        <v>15</v>
      </c>
      <c r="N127" s="120">
        <v>40</v>
      </c>
      <c r="O127" s="120">
        <v>2</v>
      </c>
      <c r="P127" s="120">
        <v>5</v>
      </c>
      <c r="Q127" s="120">
        <v>31.5</v>
      </c>
      <c r="R127" s="120">
        <v>25.799999237060501</v>
      </c>
      <c r="S127" s="148">
        <v>19.399999618530298</v>
      </c>
      <c r="T127" s="120">
        <v>65</v>
      </c>
      <c r="U127" s="120">
        <v>26</v>
      </c>
      <c r="V127" s="120">
        <v>-9999</v>
      </c>
      <c r="W127" s="120">
        <v>-9999</v>
      </c>
      <c r="X127" s="120">
        <v>-9999</v>
      </c>
      <c r="Y127" s="120">
        <v>-9999</v>
      </c>
      <c r="Z127" s="120">
        <v>-9999</v>
      </c>
      <c r="AA127" s="120">
        <v>68</v>
      </c>
      <c r="AB127" s="120">
        <v>14.5</v>
      </c>
      <c r="AC127" s="120">
        <v>126</v>
      </c>
      <c r="AD127" s="120">
        <v>1398</v>
      </c>
      <c r="AE127" s="120">
        <v>-9999</v>
      </c>
      <c r="AF127" s="120">
        <v>-9999</v>
      </c>
      <c r="AG127" s="120">
        <v>-9999</v>
      </c>
      <c r="AQ127" s="51">
        <v>4</v>
      </c>
      <c r="AR127" s="51">
        <v>110</v>
      </c>
      <c r="AS127" s="51">
        <v>30</v>
      </c>
      <c r="AT127" s="51">
        <f>AVERAGEIFS(Compressors!$S:$S,Compressors!$G:$G,AS127,Compressors!$I:$I,AR127,Compressors!$D:$D,AQ127)</f>
        <v>21.899999618530298</v>
      </c>
      <c r="AU127" s="51">
        <v>21.899999618530298</v>
      </c>
      <c r="BB127" s="121">
        <v>40</v>
      </c>
      <c r="BC127" s="121">
        <v>21</v>
      </c>
      <c r="BD127" s="125">
        <v>115</v>
      </c>
      <c r="BE127" s="121"/>
      <c r="BF127" s="121"/>
      <c r="BG127" s="121"/>
      <c r="BH127" s="121"/>
      <c r="BI127" s="121"/>
      <c r="BJ127" s="121"/>
      <c r="BK127" s="121"/>
      <c r="BL127" s="121"/>
      <c r="BM127" s="121"/>
      <c r="BO127" s="130">
        <v>100</v>
      </c>
      <c r="BP127" s="139">
        <v>100</v>
      </c>
      <c r="BQ127" s="143" t="s">
        <v>362</v>
      </c>
    </row>
    <row r="128" spans="1:69" x14ac:dyDescent="0.25">
      <c r="A128" s="120">
        <v>127</v>
      </c>
      <c r="B128" s="120" t="b">
        <v>0</v>
      </c>
      <c r="C128" s="120">
        <v>0</v>
      </c>
      <c r="D128" s="61">
        <v>1</v>
      </c>
      <c r="E128" s="120">
        <v>1</v>
      </c>
      <c r="F128" s="120" t="s">
        <v>171</v>
      </c>
      <c r="G128" s="55">
        <v>30</v>
      </c>
      <c r="H128" s="120">
        <v>139</v>
      </c>
      <c r="I128" s="57">
        <v>100</v>
      </c>
      <c r="J128" s="120">
        <v>100</v>
      </c>
      <c r="K128" s="120">
        <v>2</v>
      </c>
      <c r="L128" s="120">
        <v>50</v>
      </c>
      <c r="M128" s="120">
        <v>15</v>
      </c>
      <c r="N128" s="120">
        <v>40</v>
      </c>
      <c r="O128" s="120">
        <v>2</v>
      </c>
      <c r="P128" s="120">
        <v>20</v>
      </c>
      <c r="Q128" s="120">
        <v>33</v>
      </c>
      <c r="R128" s="120">
        <v>27.100000381469702</v>
      </c>
      <c r="S128" s="148">
        <v>19.399999618530298</v>
      </c>
      <c r="T128" s="120">
        <v>65</v>
      </c>
      <c r="U128" s="120">
        <v>26</v>
      </c>
      <c r="V128" s="120">
        <v>-9999</v>
      </c>
      <c r="W128" s="120">
        <v>-9999</v>
      </c>
      <c r="X128" s="120">
        <v>-9999</v>
      </c>
      <c r="Y128" s="120">
        <v>-9999</v>
      </c>
      <c r="Z128" s="120">
        <v>-9999</v>
      </c>
      <c r="AA128" s="120">
        <v>68</v>
      </c>
      <c r="AB128" s="120">
        <v>14.5</v>
      </c>
      <c r="AC128" s="120">
        <v>127</v>
      </c>
      <c r="AD128" s="120">
        <v>1399</v>
      </c>
      <c r="AE128" s="120">
        <v>-9999</v>
      </c>
      <c r="AF128" s="120">
        <v>-9999</v>
      </c>
      <c r="AG128" s="120">
        <v>-9999</v>
      </c>
      <c r="AQ128" s="51">
        <v>4</v>
      </c>
      <c r="AR128" s="51">
        <v>115</v>
      </c>
      <c r="AS128" s="51">
        <v>30</v>
      </c>
      <c r="AT128" s="51" t="e">
        <f>AVERAGEIFS(Compressors!$S:$S,Compressors!$G:$G,AS128,Compressors!$I:$I,AR128,Compressors!$D:$D,AQ128)</f>
        <v>#DIV/0!</v>
      </c>
      <c r="AU128">
        <f>AU126+AV129*15</f>
        <v>22.539999771118179</v>
      </c>
      <c r="BB128" s="121">
        <v>40</v>
      </c>
      <c r="BC128" s="121">
        <v>23</v>
      </c>
      <c r="BD128" s="125">
        <v>125</v>
      </c>
      <c r="BE128" s="121"/>
      <c r="BF128" s="121"/>
      <c r="BG128" s="121"/>
      <c r="BH128" s="121"/>
      <c r="BI128" s="121"/>
      <c r="BJ128" s="121"/>
      <c r="BK128" s="121"/>
      <c r="BL128" s="121"/>
      <c r="BM128" s="121"/>
      <c r="BO128" s="131">
        <v>100</v>
      </c>
      <c r="BP128" s="139">
        <v>100</v>
      </c>
      <c r="BQ128" s="143" t="s">
        <v>363</v>
      </c>
    </row>
    <row r="129" spans="1:69" x14ac:dyDescent="0.25">
      <c r="A129" s="120">
        <v>128</v>
      </c>
      <c r="B129" s="120" t="b">
        <v>0</v>
      </c>
      <c r="C129" s="120">
        <v>0</v>
      </c>
      <c r="D129" s="61">
        <v>1</v>
      </c>
      <c r="E129" s="120">
        <v>1</v>
      </c>
      <c r="F129" s="120" t="s">
        <v>171</v>
      </c>
      <c r="G129" s="55">
        <v>30</v>
      </c>
      <c r="H129" s="120">
        <v>139</v>
      </c>
      <c r="I129" s="57">
        <v>100</v>
      </c>
      <c r="J129" s="120">
        <v>100</v>
      </c>
      <c r="K129" s="120">
        <v>3</v>
      </c>
      <c r="L129" s="120">
        <v>40</v>
      </c>
      <c r="M129" s="120">
        <v>15</v>
      </c>
      <c r="N129" s="120">
        <v>40</v>
      </c>
      <c r="O129" s="120">
        <v>2</v>
      </c>
      <c r="P129" s="120">
        <v>16.666999816894499</v>
      </c>
      <c r="Q129" s="120">
        <v>33</v>
      </c>
      <c r="R129" s="120">
        <v>27.100000381469702</v>
      </c>
      <c r="S129" s="148">
        <v>19.399999618530298</v>
      </c>
      <c r="T129" s="120">
        <v>57</v>
      </c>
      <c r="U129" s="120">
        <v>26</v>
      </c>
      <c r="V129" s="120">
        <v>-9999</v>
      </c>
      <c r="W129" s="120">
        <v>-9999</v>
      </c>
      <c r="X129" s="120">
        <v>-9999</v>
      </c>
      <c r="Y129" s="120">
        <v>-9999</v>
      </c>
      <c r="Z129" s="120">
        <v>-9999</v>
      </c>
      <c r="AA129" s="120">
        <v>68</v>
      </c>
      <c r="AB129" s="120">
        <v>14.5</v>
      </c>
      <c r="AC129" s="120">
        <v>128</v>
      </c>
      <c r="AD129" s="120">
        <v>1400</v>
      </c>
      <c r="AE129" s="120">
        <v>-9999</v>
      </c>
      <c r="AF129" s="120">
        <v>-9999</v>
      </c>
      <c r="AG129" s="120">
        <v>-9999</v>
      </c>
      <c r="AQ129" s="51">
        <v>4</v>
      </c>
      <c r="AR129" s="51">
        <v>125</v>
      </c>
      <c r="AS129" s="51">
        <v>30</v>
      </c>
      <c r="AT129" s="51">
        <f>AVERAGEIFS(Compressors!$S:$S,Compressors!$G:$G,AS129,Compressors!$I:$I,AR129,Compressors!$D:$D,AQ129)</f>
        <v>23.899999618530298</v>
      </c>
      <c r="AU129" s="51">
        <v>23.899999618530298</v>
      </c>
      <c r="AV129">
        <f>(AU129-AU126)/25</f>
        <v>0.13599998474121194</v>
      </c>
      <c r="AW129">
        <f>AU129/AU121</f>
        <v>1.0482455973039604</v>
      </c>
      <c r="AX129">
        <f>AVERAGE(AW129,AW126)</f>
        <v>1.0524733141158977</v>
      </c>
      <c r="AY129" t="s">
        <v>367</v>
      </c>
      <c r="BB129" s="121">
        <v>40</v>
      </c>
      <c r="BC129" s="121">
        <v>23</v>
      </c>
      <c r="BD129" s="125">
        <v>125</v>
      </c>
      <c r="BE129" s="121"/>
      <c r="BF129" s="121"/>
      <c r="BG129" s="121"/>
      <c r="BH129" s="121"/>
      <c r="BI129" s="121"/>
      <c r="BJ129" s="121"/>
      <c r="BK129" s="121"/>
      <c r="BL129" s="121"/>
      <c r="BM129" s="121"/>
      <c r="BO129" s="130">
        <v>100</v>
      </c>
      <c r="BP129" s="139">
        <v>110</v>
      </c>
      <c r="BQ129" s="142" t="s">
        <v>108</v>
      </c>
    </row>
    <row r="130" spans="1:69" x14ac:dyDescent="0.25">
      <c r="A130" s="120">
        <v>129</v>
      </c>
      <c r="B130" s="120" t="b">
        <v>0</v>
      </c>
      <c r="C130" s="120">
        <v>0</v>
      </c>
      <c r="D130" s="61">
        <v>1</v>
      </c>
      <c r="E130" s="120">
        <v>1</v>
      </c>
      <c r="F130" s="120" t="s">
        <v>171</v>
      </c>
      <c r="G130" s="55">
        <v>30</v>
      </c>
      <c r="H130" s="120">
        <v>133</v>
      </c>
      <c r="I130" s="57">
        <v>100</v>
      </c>
      <c r="J130" s="120">
        <v>110</v>
      </c>
      <c r="K130" s="120">
        <v>4</v>
      </c>
      <c r="L130" s="120">
        <v>100</v>
      </c>
      <c r="M130" s="120">
        <v>15</v>
      </c>
      <c r="N130" s="120">
        <v>40</v>
      </c>
      <c r="O130" s="120">
        <v>2</v>
      </c>
      <c r="P130" s="120">
        <v>-9999</v>
      </c>
      <c r="Q130" s="120">
        <v>31.5</v>
      </c>
      <c r="R130" s="120">
        <v>25.799999237060501</v>
      </c>
      <c r="S130" s="148">
        <v>19.399999618530298</v>
      </c>
      <c r="T130" s="120">
        <v>-9999</v>
      </c>
      <c r="U130" s="120">
        <v>26</v>
      </c>
      <c r="V130" s="120">
        <v>-9999</v>
      </c>
      <c r="W130" s="120">
        <v>-9999</v>
      </c>
      <c r="X130" s="120">
        <v>-9999</v>
      </c>
      <c r="Y130" s="120">
        <v>-9999</v>
      </c>
      <c r="Z130" s="120">
        <v>-9999</v>
      </c>
      <c r="AA130" s="120">
        <v>68</v>
      </c>
      <c r="AB130" s="120">
        <v>14.5</v>
      </c>
      <c r="AC130" s="120">
        <v>129</v>
      </c>
      <c r="AD130" s="120">
        <v>1401</v>
      </c>
      <c r="AE130" s="120">
        <v>-9999</v>
      </c>
      <c r="AF130" s="120">
        <v>-9999</v>
      </c>
      <c r="AG130" s="120">
        <v>-9999</v>
      </c>
      <c r="AQ130" s="51">
        <v>5</v>
      </c>
      <c r="AR130" s="51">
        <v>100</v>
      </c>
      <c r="AS130" s="51">
        <v>30</v>
      </c>
      <c r="AT130" s="51">
        <f>AVERAGEIFS(Compressors!$S:$S,Compressors!$G:$G,AS130,Compressors!$I:$I,AR130,Compressors!$D:$D,AQ130)</f>
        <v>16.799999237060501</v>
      </c>
      <c r="AU130" s="51">
        <v>16.799999237060501</v>
      </c>
      <c r="BB130" s="121">
        <v>40</v>
      </c>
      <c r="BC130" s="121">
        <v>23</v>
      </c>
      <c r="BD130" s="125">
        <v>125</v>
      </c>
      <c r="BE130" s="121"/>
      <c r="BF130" s="121"/>
      <c r="BG130" s="121"/>
      <c r="BH130" s="121"/>
      <c r="BI130" s="121"/>
      <c r="BJ130" s="121"/>
      <c r="BK130" s="121"/>
      <c r="BL130" s="121"/>
      <c r="BM130" s="121"/>
      <c r="BO130" s="130">
        <v>100</v>
      </c>
      <c r="BP130" s="139">
        <v>110</v>
      </c>
      <c r="BQ130" s="143" t="s">
        <v>491</v>
      </c>
    </row>
    <row r="131" spans="1:69" x14ac:dyDescent="0.25">
      <c r="A131" s="120">
        <v>130</v>
      </c>
      <c r="B131" s="120" t="b">
        <v>0</v>
      </c>
      <c r="C131" s="120">
        <v>0</v>
      </c>
      <c r="D131" s="61">
        <v>1</v>
      </c>
      <c r="E131" s="120">
        <v>1</v>
      </c>
      <c r="F131" s="120" t="s">
        <v>171</v>
      </c>
      <c r="G131" s="55">
        <v>30</v>
      </c>
      <c r="H131" s="120">
        <v>133</v>
      </c>
      <c r="I131" s="57">
        <v>100</v>
      </c>
      <c r="J131" s="120">
        <v>110</v>
      </c>
      <c r="K131" s="120">
        <v>11</v>
      </c>
      <c r="L131" s="120">
        <v>60</v>
      </c>
      <c r="M131" s="120">
        <v>15</v>
      </c>
      <c r="N131" s="120">
        <v>40</v>
      </c>
      <c r="O131" s="120">
        <v>2</v>
      </c>
      <c r="P131" s="120">
        <v>25</v>
      </c>
      <c r="Q131" s="120">
        <v>31.5</v>
      </c>
      <c r="R131" s="120">
        <v>25.799999237060501</v>
      </c>
      <c r="S131" s="148">
        <v>19.399999618530298</v>
      </c>
      <c r="T131" s="120">
        <v>70</v>
      </c>
      <c r="U131" s="120">
        <v>26</v>
      </c>
      <c r="V131" s="120">
        <v>-9999</v>
      </c>
      <c r="W131" s="120">
        <v>-9999</v>
      </c>
      <c r="X131" s="120">
        <v>-9999</v>
      </c>
      <c r="Y131" s="120">
        <v>-9999</v>
      </c>
      <c r="Z131" s="120">
        <v>-9999</v>
      </c>
      <c r="AA131" s="120">
        <v>68</v>
      </c>
      <c r="AB131" s="120">
        <v>14.5</v>
      </c>
      <c r="AC131" s="120">
        <v>130</v>
      </c>
      <c r="AD131" s="120">
        <v>1402</v>
      </c>
      <c r="AE131" s="120">
        <v>-9999</v>
      </c>
      <c r="AF131" s="120">
        <v>-9999</v>
      </c>
      <c r="AG131" s="120">
        <v>-9999</v>
      </c>
      <c r="AQ131" s="51">
        <v>5</v>
      </c>
      <c r="AR131" s="51">
        <v>110</v>
      </c>
      <c r="AS131" s="51">
        <v>30</v>
      </c>
      <c r="AT131" s="51">
        <f>AVERAGEIFS(Compressors!$S:$S,Compressors!$G:$G,AS131,Compressors!$I:$I,AR131,Compressors!$D:$D,AQ131)</f>
        <v>17.5</v>
      </c>
      <c r="AU131" s="51">
        <v>17.5</v>
      </c>
      <c r="BB131" s="121">
        <v>40</v>
      </c>
      <c r="BC131" s="121">
        <v>23</v>
      </c>
      <c r="BD131" s="125">
        <v>125</v>
      </c>
      <c r="BE131" s="121"/>
      <c r="BF131" s="121"/>
      <c r="BG131" s="121"/>
      <c r="BH131" s="121"/>
      <c r="BI131" s="121"/>
      <c r="BJ131" s="121"/>
      <c r="BK131" s="121"/>
      <c r="BL131" s="121"/>
      <c r="BM131" s="121"/>
      <c r="BO131" s="131">
        <v>100</v>
      </c>
      <c r="BP131" s="139">
        <v>110</v>
      </c>
      <c r="BQ131" s="143" t="s">
        <v>363</v>
      </c>
    </row>
    <row r="132" spans="1:69" x14ac:dyDescent="0.25">
      <c r="A132" s="120">
        <v>131</v>
      </c>
      <c r="B132" s="120" t="b">
        <v>0</v>
      </c>
      <c r="C132" s="120">
        <v>0</v>
      </c>
      <c r="D132" s="61">
        <v>1</v>
      </c>
      <c r="E132" s="120">
        <v>1</v>
      </c>
      <c r="F132" s="120" t="s">
        <v>171</v>
      </c>
      <c r="G132" s="55">
        <v>30</v>
      </c>
      <c r="H132" s="120">
        <v>123</v>
      </c>
      <c r="I132" s="57">
        <v>115</v>
      </c>
      <c r="J132" s="120">
        <v>125</v>
      </c>
      <c r="K132" s="120">
        <v>1</v>
      </c>
      <c r="L132" s="120">
        <v>50</v>
      </c>
      <c r="M132" s="120">
        <v>15</v>
      </c>
      <c r="N132" s="120">
        <v>40</v>
      </c>
      <c r="O132" s="120">
        <v>2</v>
      </c>
      <c r="P132" s="120">
        <v>5</v>
      </c>
      <c r="Q132" s="120">
        <v>31.5</v>
      </c>
      <c r="R132" s="120">
        <v>25.799999237060501</v>
      </c>
      <c r="S132" s="148">
        <v>21</v>
      </c>
      <c r="T132" s="120">
        <v>65</v>
      </c>
      <c r="U132" s="120">
        <v>24</v>
      </c>
      <c r="V132" s="120">
        <v>-9999</v>
      </c>
      <c r="W132" s="120">
        <v>-9999</v>
      </c>
      <c r="X132" s="120">
        <v>-9999</v>
      </c>
      <c r="Y132" s="120">
        <v>-9999</v>
      </c>
      <c r="Z132" s="120">
        <v>-9999</v>
      </c>
      <c r="AA132" s="120">
        <v>68</v>
      </c>
      <c r="AB132" s="120">
        <v>14.5</v>
      </c>
      <c r="AC132" s="120">
        <v>131</v>
      </c>
      <c r="AD132" s="120">
        <v>1403</v>
      </c>
      <c r="AE132" s="120">
        <v>-9999</v>
      </c>
      <c r="AF132" s="120">
        <v>-9999</v>
      </c>
      <c r="AG132" s="120">
        <v>-9999</v>
      </c>
      <c r="AQ132" s="51">
        <v>5</v>
      </c>
      <c r="AR132" s="51">
        <v>115</v>
      </c>
      <c r="AS132" s="51">
        <v>30</v>
      </c>
      <c r="AT132" s="51" t="e">
        <f>AVERAGEIFS(Compressors!$S:$S,Compressors!$G:$G,AS132,Compressors!$I:$I,AR132,Compressors!$D:$D,AQ132)</f>
        <v>#DIV/0!</v>
      </c>
      <c r="AU132">
        <f>AU130+AV133*15</f>
        <v>17.759999465942379</v>
      </c>
      <c r="BB132" s="121">
        <v>40</v>
      </c>
      <c r="BC132" s="121">
        <v>23</v>
      </c>
      <c r="BD132" s="125">
        <v>125</v>
      </c>
      <c r="BE132" s="121"/>
      <c r="BF132" s="121"/>
      <c r="BG132" s="121"/>
      <c r="BH132" s="121"/>
      <c r="BI132" s="121"/>
      <c r="BJ132" s="121"/>
      <c r="BK132" s="121"/>
      <c r="BL132" s="121"/>
      <c r="BM132" s="121"/>
      <c r="BO132" s="130">
        <v>100</v>
      </c>
      <c r="BP132" s="139">
        <v>115</v>
      </c>
      <c r="BQ132" s="142" t="s">
        <v>108</v>
      </c>
    </row>
    <row r="133" spans="1:69" x14ac:dyDescent="0.25">
      <c r="A133" s="120">
        <v>132</v>
      </c>
      <c r="B133" s="120" t="b">
        <v>0</v>
      </c>
      <c r="C133" s="120">
        <v>0</v>
      </c>
      <c r="D133" s="61">
        <v>1</v>
      </c>
      <c r="E133" s="120">
        <v>1</v>
      </c>
      <c r="F133" s="120" t="s">
        <v>171</v>
      </c>
      <c r="G133" s="55">
        <v>30</v>
      </c>
      <c r="H133" s="120">
        <v>129</v>
      </c>
      <c r="I133" s="57">
        <v>115</v>
      </c>
      <c r="J133" s="120">
        <v>115</v>
      </c>
      <c r="K133" s="120">
        <v>2</v>
      </c>
      <c r="L133" s="120">
        <v>50</v>
      </c>
      <c r="M133" s="120">
        <v>15</v>
      </c>
      <c r="N133" s="120">
        <v>40</v>
      </c>
      <c r="O133" s="120">
        <v>2</v>
      </c>
      <c r="P133" s="120">
        <v>20</v>
      </c>
      <c r="Q133" s="120">
        <v>33</v>
      </c>
      <c r="R133" s="120">
        <v>27.100000381469702</v>
      </c>
      <c r="S133" s="148">
        <v>21</v>
      </c>
      <c r="T133" s="120">
        <v>65</v>
      </c>
      <c r="U133" s="120">
        <v>24</v>
      </c>
      <c r="V133" s="120">
        <v>-9999</v>
      </c>
      <c r="W133" s="120">
        <v>-9999</v>
      </c>
      <c r="X133" s="120">
        <v>-9999</v>
      </c>
      <c r="Y133" s="120">
        <v>-9999</v>
      </c>
      <c r="Z133" s="120">
        <v>-9999</v>
      </c>
      <c r="AA133" s="120">
        <v>68</v>
      </c>
      <c r="AB133" s="120">
        <v>14.5</v>
      </c>
      <c r="AC133" s="120">
        <v>132</v>
      </c>
      <c r="AD133" s="120">
        <v>1404</v>
      </c>
      <c r="AE133" s="120">
        <v>-9999</v>
      </c>
      <c r="AF133" s="120">
        <v>-9999</v>
      </c>
      <c r="AG133" s="120">
        <v>-9999</v>
      </c>
      <c r="AQ133" s="51">
        <v>5</v>
      </c>
      <c r="AR133" s="51">
        <v>125</v>
      </c>
      <c r="AS133" s="51">
        <v>30</v>
      </c>
      <c r="AT133" s="51">
        <f>AVERAGEIFS(Compressors!$S:$S,Compressors!$G:$G,AS133,Compressors!$I:$I,AR133,Compressors!$D:$D,AQ133)</f>
        <v>18.399999618530298</v>
      </c>
      <c r="AU133" s="51">
        <v>18.399999618530298</v>
      </c>
      <c r="AV133">
        <f>(AU133-AU130)/25</f>
        <v>6.4000015258791898E-2</v>
      </c>
      <c r="BB133" s="121">
        <v>50</v>
      </c>
      <c r="BC133" s="121">
        <v>18.899999618530298</v>
      </c>
      <c r="BD133" s="125">
        <v>100</v>
      </c>
      <c r="BE133" s="121"/>
      <c r="BF133" s="121"/>
      <c r="BG133" s="121"/>
      <c r="BH133" s="121"/>
      <c r="BI133" s="121"/>
      <c r="BJ133" s="121"/>
      <c r="BK133" s="121"/>
      <c r="BL133" s="121"/>
      <c r="BM133" s="121"/>
      <c r="BO133" s="130">
        <v>100</v>
      </c>
      <c r="BP133" s="139">
        <v>115</v>
      </c>
      <c r="BQ133" s="143" t="s">
        <v>491</v>
      </c>
    </row>
    <row r="134" spans="1:69" x14ac:dyDescent="0.25">
      <c r="A134" s="120">
        <v>133</v>
      </c>
      <c r="B134" s="120" t="b">
        <v>0</v>
      </c>
      <c r="C134" s="120">
        <v>0</v>
      </c>
      <c r="D134" s="61">
        <v>1</v>
      </c>
      <c r="E134" s="120">
        <v>1</v>
      </c>
      <c r="F134" s="120" t="s">
        <v>171</v>
      </c>
      <c r="G134" s="55">
        <v>30</v>
      </c>
      <c r="H134" s="120">
        <v>129</v>
      </c>
      <c r="I134" s="57">
        <v>115</v>
      </c>
      <c r="J134" s="120">
        <v>115</v>
      </c>
      <c r="K134" s="120">
        <v>3</v>
      </c>
      <c r="L134" s="120">
        <v>40</v>
      </c>
      <c r="M134" s="120">
        <v>15</v>
      </c>
      <c r="N134" s="120">
        <v>40</v>
      </c>
      <c r="O134" s="120">
        <v>2</v>
      </c>
      <c r="P134" s="120">
        <v>16.666999816894499</v>
      </c>
      <c r="Q134" s="120">
        <v>33</v>
      </c>
      <c r="R134" s="120">
        <v>27.100000381469702</v>
      </c>
      <c r="S134" s="148">
        <v>21</v>
      </c>
      <c r="T134" s="120">
        <v>57</v>
      </c>
      <c r="U134" s="120">
        <v>24</v>
      </c>
      <c r="V134" s="120">
        <v>-9999</v>
      </c>
      <c r="W134" s="120">
        <v>-9999</v>
      </c>
      <c r="X134" s="120">
        <v>-9999</v>
      </c>
      <c r="Y134" s="120">
        <v>-9999</v>
      </c>
      <c r="Z134" s="120">
        <v>-9999</v>
      </c>
      <c r="AA134" s="120">
        <v>68</v>
      </c>
      <c r="AB134" s="120">
        <v>14.5</v>
      </c>
      <c r="AC134" s="120">
        <v>133</v>
      </c>
      <c r="AD134" s="120">
        <v>1405</v>
      </c>
      <c r="AE134" s="120">
        <v>-9999</v>
      </c>
      <c r="AF134" s="120">
        <v>-9999</v>
      </c>
      <c r="AG134" s="120">
        <v>-9999</v>
      </c>
      <c r="AQ134" s="51">
        <v>6</v>
      </c>
      <c r="AR134" s="51">
        <v>100</v>
      </c>
      <c r="AS134" s="51">
        <v>30</v>
      </c>
      <c r="AT134" s="51" t="e">
        <f>AVERAGEIFS(Compressors!$S:$S,Compressors!$G:$G,AS134,Compressors!$I:$I,AR134,Compressors!$D:$D,AQ134)</f>
        <v>#DIV/0!</v>
      </c>
      <c r="AU134" s="53"/>
      <c r="BB134" s="121">
        <v>50</v>
      </c>
      <c r="BC134" s="121">
        <v>18.899999618530298</v>
      </c>
      <c r="BD134" s="125">
        <v>100</v>
      </c>
      <c r="BE134" s="121"/>
      <c r="BF134" s="121"/>
      <c r="BG134" s="121"/>
      <c r="BH134" s="121"/>
      <c r="BI134" s="121"/>
      <c r="BJ134" s="121"/>
      <c r="BK134" s="121"/>
      <c r="BL134" s="121"/>
      <c r="BM134" s="121"/>
      <c r="BO134" s="131">
        <v>100</v>
      </c>
      <c r="BP134" s="139">
        <v>115</v>
      </c>
      <c r="BQ134" s="143" t="s">
        <v>362</v>
      </c>
    </row>
    <row r="135" spans="1:69" x14ac:dyDescent="0.25">
      <c r="A135" s="120">
        <v>134</v>
      </c>
      <c r="B135" s="120" t="b">
        <v>0</v>
      </c>
      <c r="C135" s="120">
        <v>0</v>
      </c>
      <c r="D135" s="61">
        <v>1</v>
      </c>
      <c r="E135" s="120">
        <v>1</v>
      </c>
      <c r="F135" s="120" t="s">
        <v>171</v>
      </c>
      <c r="G135" s="55">
        <v>30</v>
      </c>
      <c r="H135" s="120">
        <v>123</v>
      </c>
      <c r="I135" s="57">
        <v>115</v>
      </c>
      <c r="J135" s="120">
        <v>125</v>
      </c>
      <c r="K135" s="120">
        <v>4</v>
      </c>
      <c r="L135" s="120">
        <v>100</v>
      </c>
      <c r="M135" s="120">
        <v>15</v>
      </c>
      <c r="N135" s="120">
        <v>40</v>
      </c>
      <c r="O135" s="120">
        <v>2</v>
      </c>
      <c r="P135" s="120">
        <v>-9999</v>
      </c>
      <c r="Q135" s="120">
        <v>31.5</v>
      </c>
      <c r="R135" s="120">
        <v>25.799999237060501</v>
      </c>
      <c r="S135" s="148">
        <v>21</v>
      </c>
      <c r="T135" s="120">
        <v>-9999</v>
      </c>
      <c r="U135" s="120">
        <v>24</v>
      </c>
      <c r="V135" s="120">
        <v>-9999</v>
      </c>
      <c r="W135" s="120">
        <v>-9999</v>
      </c>
      <c r="X135" s="120">
        <v>-9999</v>
      </c>
      <c r="Y135" s="120">
        <v>-9999</v>
      </c>
      <c r="Z135" s="120">
        <v>-9999</v>
      </c>
      <c r="AA135" s="120">
        <v>68</v>
      </c>
      <c r="AB135" s="120">
        <v>14.5</v>
      </c>
      <c r="AC135" s="120">
        <v>134</v>
      </c>
      <c r="AD135" s="120">
        <v>1406</v>
      </c>
      <c r="AE135" s="120">
        <v>-9999</v>
      </c>
      <c r="AF135" s="120">
        <v>-9999</v>
      </c>
      <c r="AG135" s="120">
        <v>-9999</v>
      </c>
      <c r="AQ135" s="51">
        <v>6</v>
      </c>
      <c r="AR135" s="51">
        <v>110</v>
      </c>
      <c r="AS135" s="51">
        <v>30</v>
      </c>
      <c r="AT135" s="51" t="e">
        <f>AVERAGEIFS(Compressors!$S:$S,Compressors!$G:$G,AS135,Compressors!$I:$I,AR135,Compressors!$D:$D,AQ135)</f>
        <v>#DIV/0!</v>
      </c>
      <c r="AU135" s="53"/>
      <c r="BB135" s="121">
        <v>50</v>
      </c>
      <c r="BC135" s="121">
        <v>18.899999618530298</v>
      </c>
      <c r="BD135" s="125">
        <v>100</v>
      </c>
      <c r="BE135" s="121"/>
      <c r="BF135" s="121"/>
      <c r="BG135" s="121"/>
      <c r="BH135" s="121"/>
      <c r="BI135" s="121"/>
      <c r="BJ135" s="121"/>
      <c r="BK135" s="121"/>
      <c r="BL135" s="121"/>
      <c r="BM135" s="121"/>
      <c r="BO135" s="130">
        <v>100</v>
      </c>
      <c r="BP135" s="139">
        <v>115</v>
      </c>
      <c r="BQ135" s="143" t="s">
        <v>363</v>
      </c>
    </row>
    <row r="136" spans="1:69" x14ac:dyDescent="0.25">
      <c r="A136" s="120">
        <v>135</v>
      </c>
      <c r="B136" s="120" t="b">
        <v>0</v>
      </c>
      <c r="C136" s="120">
        <v>0</v>
      </c>
      <c r="D136" s="61">
        <v>1</v>
      </c>
      <c r="E136" s="120">
        <v>1</v>
      </c>
      <c r="F136" s="120" t="s">
        <v>171</v>
      </c>
      <c r="G136" s="55">
        <v>30</v>
      </c>
      <c r="H136" s="120">
        <v>123</v>
      </c>
      <c r="I136" s="57">
        <v>115</v>
      </c>
      <c r="J136" s="120">
        <v>125</v>
      </c>
      <c r="K136" s="120">
        <v>11</v>
      </c>
      <c r="L136" s="120">
        <v>60</v>
      </c>
      <c r="M136" s="120">
        <v>15</v>
      </c>
      <c r="N136" s="120">
        <v>40</v>
      </c>
      <c r="O136" s="120">
        <v>2</v>
      </c>
      <c r="P136" s="120">
        <v>25</v>
      </c>
      <c r="Q136" s="120">
        <v>31.5</v>
      </c>
      <c r="R136" s="120">
        <v>25.799999237060501</v>
      </c>
      <c r="S136" s="148">
        <v>21</v>
      </c>
      <c r="T136" s="120">
        <v>70</v>
      </c>
      <c r="U136" s="120">
        <v>24</v>
      </c>
      <c r="V136" s="120">
        <v>-9999</v>
      </c>
      <c r="W136" s="120">
        <v>-9999</v>
      </c>
      <c r="X136" s="120">
        <v>-9999</v>
      </c>
      <c r="Y136" s="120">
        <v>-9999</v>
      </c>
      <c r="Z136" s="120">
        <v>-9999</v>
      </c>
      <c r="AA136" s="120">
        <v>68</v>
      </c>
      <c r="AB136" s="120">
        <v>14.5</v>
      </c>
      <c r="AC136" s="120">
        <v>135</v>
      </c>
      <c r="AD136" s="120">
        <v>1407</v>
      </c>
      <c r="AE136" s="120">
        <v>-9999</v>
      </c>
      <c r="AF136" s="120">
        <v>-9999</v>
      </c>
      <c r="AG136" s="120">
        <v>-9999</v>
      </c>
      <c r="AQ136" s="51">
        <v>6</v>
      </c>
      <c r="AR136" s="51">
        <v>115</v>
      </c>
      <c r="AS136" s="51">
        <v>30</v>
      </c>
      <c r="AT136" s="51" t="e">
        <f>AVERAGEIFS(Compressors!$S:$S,Compressors!$G:$G,AS136,Compressors!$I:$I,AR136,Compressors!$D:$D,AQ136)</f>
        <v>#DIV/0!</v>
      </c>
      <c r="AU136" s="53"/>
      <c r="BB136" s="121">
        <v>50</v>
      </c>
      <c r="BC136" s="121">
        <v>18.899999618530298</v>
      </c>
      <c r="BD136" s="125">
        <v>100</v>
      </c>
      <c r="BE136" s="121"/>
      <c r="BF136" s="121"/>
      <c r="BG136" s="121"/>
      <c r="BH136" s="121"/>
      <c r="BI136" s="121"/>
      <c r="BJ136" s="121"/>
      <c r="BK136" s="121"/>
      <c r="BL136" s="121"/>
      <c r="BM136" s="121"/>
      <c r="BO136" s="130">
        <v>100</v>
      </c>
      <c r="BP136" s="139">
        <v>125</v>
      </c>
      <c r="BQ136" s="142" t="s">
        <v>108</v>
      </c>
    </row>
    <row r="137" spans="1:69" x14ac:dyDescent="0.25">
      <c r="A137" s="120">
        <v>136</v>
      </c>
      <c r="B137" s="120" t="b">
        <v>0</v>
      </c>
      <c r="C137" s="120">
        <v>0</v>
      </c>
      <c r="D137" s="61">
        <v>1</v>
      </c>
      <c r="E137" s="120">
        <v>1</v>
      </c>
      <c r="F137" s="120" t="s">
        <v>171</v>
      </c>
      <c r="G137" s="55">
        <v>30</v>
      </c>
      <c r="H137" s="120">
        <v>113</v>
      </c>
      <c r="I137" s="57">
        <v>125</v>
      </c>
      <c r="J137" s="120">
        <v>135</v>
      </c>
      <c r="K137" s="120">
        <v>1</v>
      </c>
      <c r="L137" s="120">
        <v>50</v>
      </c>
      <c r="M137" s="120">
        <v>15</v>
      </c>
      <c r="N137" s="120">
        <v>40</v>
      </c>
      <c r="O137" s="120">
        <v>2</v>
      </c>
      <c r="P137" s="120">
        <v>5</v>
      </c>
      <c r="Q137" s="120">
        <v>31.5</v>
      </c>
      <c r="R137" s="120">
        <v>25.799999237060501</v>
      </c>
      <c r="S137" s="148">
        <v>22.799999237060501</v>
      </c>
      <c r="T137" s="120">
        <v>65</v>
      </c>
      <c r="U137" s="120">
        <v>23</v>
      </c>
      <c r="V137" s="120">
        <v>-9999</v>
      </c>
      <c r="W137" s="120">
        <v>-9999</v>
      </c>
      <c r="X137" s="120">
        <v>-9999</v>
      </c>
      <c r="Y137" s="120">
        <v>-9999</v>
      </c>
      <c r="Z137" s="120">
        <v>-9999</v>
      </c>
      <c r="AA137" s="120">
        <v>68</v>
      </c>
      <c r="AB137" s="120">
        <v>14.5</v>
      </c>
      <c r="AC137" s="120">
        <v>136</v>
      </c>
      <c r="AD137" s="120">
        <v>1408</v>
      </c>
      <c r="AE137" s="120">
        <v>-9999</v>
      </c>
      <c r="AF137" s="120">
        <v>-9999</v>
      </c>
      <c r="AG137" s="120">
        <v>-9999</v>
      </c>
      <c r="AQ137" s="51">
        <v>6</v>
      </c>
      <c r="AR137" s="51">
        <v>125</v>
      </c>
      <c r="AS137" s="51">
        <v>30</v>
      </c>
      <c r="AT137" s="51" t="e">
        <f>AVERAGEIFS(Compressors!$S:$S,Compressors!$G:$G,AS137,Compressors!$I:$I,AR137,Compressors!$D:$D,AQ137)</f>
        <v>#DIV/0!</v>
      </c>
      <c r="AU137" s="53"/>
      <c r="BB137" s="121">
        <v>50</v>
      </c>
      <c r="BC137" s="121">
        <v>18.899999618530298</v>
      </c>
      <c r="BD137" s="125">
        <v>100</v>
      </c>
      <c r="BE137" s="121"/>
      <c r="BF137" s="121"/>
      <c r="BG137" s="121"/>
      <c r="BH137" s="121"/>
      <c r="BI137" s="121"/>
      <c r="BJ137" s="121"/>
      <c r="BK137" s="121"/>
      <c r="BL137" s="121"/>
      <c r="BM137" s="121"/>
      <c r="BO137" s="131">
        <v>100</v>
      </c>
      <c r="BP137" s="139">
        <v>125</v>
      </c>
      <c r="BQ137" s="143" t="s">
        <v>491</v>
      </c>
    </row>
    <row r="138" spans="1:69" x14ac:dyDescent="0.25">
      <c r="A138" s="120">
        <v>137</v>
      </c>
      <c r="B138" s="120" t="b">
        <v>0</v>
      </c>
      <c r="C138" s="120">
        <v>0</v>
      </c>
      <c r="D138" s="61">
        <v>1</v>
      </c>
      <c r="E138" s="120">
        <v>1</v>
      </c>
      <c r="F138" s="120" t="s">
        <v>171</v>
      </c>
      <c r="G138" s="55">
        <v>30</v>
      </c>
      <c r="H138" s="120">
        <v>118</v>
      </c>
      <c r="I138" s="57">
        <v>125</v>
      </c>
      <c r="J138" s="120">
        <v>125</v>
      </c>
      <c r="K138" s="120">
        <v>2</v>
      </c>
      <c r="L138" s="120">
        <v>50</v>
      </c>
      <c r="M138" s="120">
        <v>15</v>
      </c>
      <c r="N138" s="120">
        <v>40</v>
      </c>
      <c r="O138" s="120">
        <v>2</v>
      </c>
      <c r="P138" s="120">
        <v>20</v>
      </c>
      <c r="Q138" s="120">
        <v>33</v>
      </c>
      <c r="R138" s="120">
        <v>27.100000381469702</v>
      </c>
      <c r="S138" s="148">
        <v>22.799999237060501</v>
      </c>
      <c r="T138" s="120">
        <v>65</v>
      </c>
      <c r="U138" s="120">
        <v>23</v>
      </c>
      <c r="V138" s="120">
        <v>-9999</v>
      </c>
      <c r="W138" s="120">
        <v>-9999</v>
      </c>
      <c r="X138" s="120">
        <v>-9999</v>
      </c>
      <c r="Y138" s="120">
        <v>-9999</v>
      </c>
      <c r="Z138" s="120">
        <v>-9999</v>
      </c>
      <c r="AA138" s="120">
        <v>68</v>
      </c>
      <c r="AB138" s="120">
        <v>14.5</v>
      </c>
      <c r="AC138" s="120">
        <v>137</v>
      </c>
      <c r="AD138" s="120">
        <v>1409</v>
      </c>
      <c r="AE138" s="120">
        <v>-9999</v>
      </c>
      <c r="AF138" s="120">
        <v>-9999</v>
      </c>
      <c r="AG138" s="120">
        <v>-9999</v>
      </c>
      <c r="AQ138" s="29">
        <v>1</v>
      </c>
      <c r="AR138" s="29">
        <v>100</v>
      </c>
      <c r="AS138" s="29">
        <v>40</v>
      </c>
      <c r="AT138" s="29">
        <f>AVERAGEIFS(Compressors!$S:$S,Compressors!$G:$G,AS138,Compressors!$I:$I,AR138,Compressors!$D:$D,AQ138)</f>
        <v>19.5</v>
      </c>
      <c r="AU138" s="29">
        <v>19.5</v>
      </c>
      <c r="BB138" s="121">
        <v>50</v>
      </c>
      <c r="BC138" s="121">
        <v>18.600000381469702</v>
      </c>
      <c r="BD138" s="125">
        <v>110</v>
      </c>
      <c r="BE138" s="121"/>
      <c r="BF138" s="121"/>
      <c r="BG138" s="121"/>
      <c r="BH138" s="121"/>
      <c r="BI138" s="121"/>
      <c r="BJ138" s="121"/>
      <c r="BK138" s="121"/>
      <c r="BL138" s="121"/>
      <c r="BM138" s="121"/>
      <c r="BO138" s="130">
        <v>100</v>
      </c>
      <c r="BP138" s="139">
        <v>125</v>
      </c>
      <c r="BQ138" s="143" t="s">
        <v>362</v>
      </c>
    </row>
    <row r="139" spans="1:69" x14ac:dyDescent="0.25">
      <c r="A139" s="120">
        <v>138</v>
      </c>
      <c r="B139" s="120" t="b">
        <v>0</v>
      </c>
      <c r="C139" s="120">
        <v>0</v>
      </c>
      <c r="D139" s="61">
        <v>1</v>
      </c>
      <c r="E139" s="120">
        <v>1</v>
      </c>
      <c r="F139" s="120" t="s">
        <v>171</v>
      </c>
      <c r="G139" s="55">
        <v>30</v>
      </c>
      <c r="H139" s="120">
        <v>118</v>
      </c>
      <c r="I139" s="57">
        <v>125</v>
      </c>
      <c r="J139" s="120">
        <v>125</v>
      </c>
      <c r="K139" s="120">
        <v>3</v>
      </c>
      <c r="L139" s="120">
        <v>40</v>
      </c>
      <c r="M139" s="120">
        <v>15</v>
      </c>
      <c r="N139" s="120">
        <v>40</v>
      </c>
      <c r="O139" s="120">
        <v>2</v>
      </c>
      <c r="P139" s="120">
        <v>16.666999816894499</v>
      </c>
      <c r="Q139" s="120">
        <v>33</v>
      </c>
      <c r="R139" s="120">
        <v>27.100000381469702</v>
      </c>
      <c r="S139" s="148">
        <v>22.799999237060501</v>
      </c>
      <c r="T139" s="120">
        <v>57</v>
      </c>
      <c r="U139" s="120">
        <v>23</v>
      </c>
      <c r="V139" s="120">
        <v>-9999</v>
      </c>
      <c r="W139" s="120">
        <v>-9999</v>
      </c>
      <c r="X139" s="120">
        <v>-9999</v>
      </c>
      <c r="Y139" s="120">
        <v>-9999</v>
      </c>
      <c r="Z139" s="120">
        <v>-9999</v>
      </c>
      <c r="AA139" s="120">
        <v>68</v>
      </c>
      <c r="AB139" s="120">
        <v>14.5</v>
      </c>
      <c r="AC139" s="120">
        <v>138</v>
      </c>
      <c r="AD139" s="120">
        <v>1410</v>
      </c>
      <c r="AE139" s="120">
        <v>-9999</v>
      </c>
      <c r="AF139" s="120">
        <v>-9999</v>
      </c>
      <c r="AG139" s="120">
        <v>-9999</v>
      </c>
      <c r="AQ139" s="29">
        <v>1</v>
      </c>
      <c r="AR139" s="29">
        <v>110</v>
      </c>
      <c r="AS139" s="29">
        <v>40</v>
      </c>
      <c r="AT139" s="29" t="e">
        <f>AVERAGEIFS(Compressors!$S:$S,Compressors!$G:$G,AS139,Compressors!$I:$I,AR139,Compressors!$D:$D,AQ139)</f>
        <v>#DIV/0!</v>
      </c>
      <c r="AU139" s="30">
        <v>20.5</v>
      </c>
      <c r="BB139" s="121">
        <v>50</v>
      </c>
      <c r="BC139" s="121">
        <v>18.600000381469702</v>
      </c>
      <c r="BD139" s="125">
        <v>110</v>
      </c>
      <c r="BE139" s="121"/>
      <c r="BF139" s="121"/>
      <c r="BG139" s="121"/>
      <c r="BH139" s="121"/>
      <c r="BI139" s="121"/>
      <c r="BJ139" s="121"/>
      <c r="BK139" s="121"/>
      <c r="BL139" s="121"/>
      <c r="BM139" s="121"/>
      <c r="BO139" s="131">
        <v>100</v>
      </c>
      <c r="BP139" s="139">
        <v>125</v>
      </c>
      <c r="BQ139" s="143" t="s">
        <v>363</v>
      </c>
    </row>
    <row r="140" spans="1:69" x14ac:dyDescent="0.25">
      <c r="A140" s="120">
        <v>139</v>
      </c>
      <c r="B140" s="120" t="b">
        <v>0</v>
      </c>
      <c r="C140" s="120">
        <v>0</v>
      </c>
      <c r="D140" s="61">
        <v>1</v>
      </c>
      <c r="E140" s="120">
        <v>1</v>
      </c>
      <c r="F140" s="120" t="s">
        <v>171</v>
      </c>
      <c r="G140" s="55">
        <v>30</v>
      </c>
      <c r="H140" s="120">
        <v>113</v>
      </c>
      <c r="I140" s="57">
        <v>125</v>
      </c>
      <c r="J140" s="120">
        <v>135</v>
      </c>
      <c r="K140" s="120">
        <v>4</v>
      </c>
      <c r="L140" s="120">
        <v>100</v>
      </c>
      <c r="M140" s="120">
        <v>15</v>
      </c>
      <c r="N140" s="120">
        <v>40</v>
      </c>
      <c r="O140" s="120">
        <v>2</v>
      </c>
      <c r="P140" s="120">
        <v>-9999</v>
      </c>
      <c r="Q140" s="120">
        <v>31.5</v>
      </c>
      <c r="R140" s="120">
        <v>25.799999237060501</v>
      </c>
      <c r="S140" s="148">
        <v>22.799999237060501</v>
      </c>
      <c r="T140" s="120">
        <v>-9999</v>
      </c>
      <c r="U140" s="120">
        <v>23</v>
      </c>
      <c r="V140" s="120">
        <v>-9999</v>
      </c>
      <c r="W140" s="120">
        <v>-9999</v>
      </c>
      <c r="X140" s="120">
        <v>-9999</v>
      </c>
      <c r="Y140" s="120">
        <v>-9999</v>
      </c>
      <c r="Z140" s="120">
        <v>-9999</v>
      </c>
      <c r="AA140" s="120">
        <v>68</v>
      </c>
      <c r="AB140" s="120">
        <v>14.5</v>
      </c>
      <c r="AC140" s="120">
        <v>139</v>
      </c>
      <c r="AD140" s="120">
        <v>1411</v>
      </c>
      <c r="AE140" s="120">
        <v>-9999</v>
      </c>
      <c r="AF140" s="120">
        <v>-9999</v>
      </c>
      <c r="AG140" s="120">
        <v>-9999</v>
      </c>
      <c r="AQ140" s="29">
        <v>1</v>
      </c>
      <c r="AR140" s="29">
        <v>115</v>
      </c>
      <c r="AS140" s="29">
        <v>40</v>
      </c>
      <c r="AT140" s="29">
        <f>AVERAGEIFS(Compressors!$S:$S,Compressors!$G:$G,AS140,Compressors!$I:$I,AR140,Compressors!$D:$D,AQ140)</f>
        <v>21</v>
      </c>
      <c r="AU140" s="29">
        <v>21</v>
      </c>
      <c r="BB140" s="121">
        <v>50</v>
      </c>
      <c r="BC140" s="121">
        <v>18.600000381469702</v>
      </c>
      <c r="BD140" s="125">
        <v>110</v>
      </c>
      <c r="BE140" s="121"/>
      <c r="BF140" s="121"/>
      <c r="BG140" s="121"/>
      <c r="BH140" s="121"/>
      <c r="BI140" s="121"/>
      <c r="BJ140" s="121"/>
      <c r="BK140" s="121"/>
      <c r="BL140" s="121"/>
      <c r="BM140" s="121"/>
      <c r="BO140" s="130">
        <v>125</v>
      </c>
      <c r="BP140" s="139">
        <v>100</v>
      </c>
      <c r="BQ140" s="142" t="s">
        <v>108</v>
      </c>
    </row>
    <row r="141" spans="1:69" x14ac:dyDescent="0.25">
      <c r="A141" s="120">
        <v>140</v>
      </c>
      <c r="B141" s="120" t="b">
        <v>0</v>
      </c>
      <c r="C141" s="120">
        <v>0</v>
      </c>
      <c r="D141" s="61">
        <v>1</v>
      </c>
      <c r="E141" s="120">
        <v>1</v>
      </c>
      <c r="F141" s="120" t="s">
        <v>171</v>
      </c>
      <c r="G141" s="55">
        <v>30</v>
      </c>
      <c r="H141" s="120">
        <v>113</v>
      </c>
      <c r="I141" s="57">
        <v>125</v>
      </c>
      <c r="J141" s="120">
        <v>135</v>
      </c>
      <c r="K141" s="120">
        <v>11</v>
      </c>
      <c r="L141" s="120">
        <v>60</v>
      </c>
      <c r="M141" s="120">
        <v>15</v>
      </c>
      <c r="N141" s="120">
        <v>40</v>
      </c>
      <c r="O141" s="120">
        <v>2</v>
      </c>
      <c r="P141" s="120">
        <v>25</v>
      </c>
      <c r="Q141" s="120">
        <v>31.5</v>
      </c>
      <c r="R141" s="120">
        <v>25.799999237060501</v>
      </c>
      <c r="S141" s="148">
        <v>22.799999237060501</v>
      </c>
      <c r="T141" s="120">
        <v>70</v>
      </c>
      <c r="U141" s="120">
        <v>23</v>
      </c>
      <c r="V141" s="120">
        <v>-9999</v>
      </c>
      <c r="W141" s="120">
        <v>-9999</v>
      </c>
      <c r="X141" s="120">
        <v>-9999</v>
      </c>
      <c r="Y141" s="120">
        <v>-9999</v>
      </c>
      <c r="Z141" s="120">
        <v>-9999</v>
      </c>
      <c r="AA141" s="120">
        <v>68</v>
      </c>
      <c r="AB141" s="120">
        <v>14.5</v>
      </c>
      <c r="AC141" s="120">
        <v>140</v>
      </c>
      <c r="AD141" s="120">
        <v>1412</v>
      </c>
      <c r="AE141" s="120">
        <v>-9999</v>
      </c>
      <c r="AF141" s="120">
        <v>-9999</v>
      </c>
      <c r="AG141" s="120">
        <v>-9999</v>
      </c>
      <c r="AQ141" s="29">
        <v>1</v>
      </c>
      <c r="AR141" s="29">
        <v>125</v>
      </c>
      <c r="AS141" s="29">
        <v>40</v>
      </c>
      <c r="AT141" s="29">
        <f>AVERAGEIFS(Compressors!$S:$S,Compressors!$G:$G,AS141,Compressors!$I:$I,AR141,Compressors!$D:$D,AQ141)</f>
        <v>23</v>
      </c>
      <c r="AU141" s="29">
        <v>23</v>
      </c>
      <c r="BB141" s="121">
        <v>50</v>
      </c>
      <c r="BC141" s="121">
        <v>18.600000381469702</v>
      </c>
      <c r="BD141" s="125">
        <v>110</v>
      </c>
      <c r="BE141" s="121"/>
      <c r="BF141" s="121"/>
      <c r="BG141" s="121"/>
      <c r="BH141" s="121"/>
      <c r="BI141" s="121"/>
      <c r="BJ141" s="121"/>
      <c r="BK141" s="121"/>
      <c r="BL141" s="121"/>
      <c r="BM141" s="121"/>
      <c r="BO141" s="130">
        <v>125</v>
      </c>
      <c r="BP141" s="139">
        <v>100</v>
      </c>
      <c r="BQ141" s="143" t="s">
        <v>491</v>
      </c>
    </row>
    <row r="142" spans="1:69" x14ac:dyDescent="0.25">
      <c r="A142" s="120">
        <v>141</v>
      </c>
      <c r="B142" s="120" t="b">
        <v>0</v>
      </c>
      <c r="C142" s="120">
        <v>0</v>
      </c>
      <c r="D142" s="61">
        <v>1</v>
      </c>
      <c r="E142" s="120">
        <v>1</v>
      </c>
      <c r="F142" s="120" t="s">
        <v>171</v>
      </c>
      <c r="G142" s="55">
        <v>30</v>
      </c>
      <c r="H142" s="120">
        <v>102</v>
      </c>
      <c r="I142" s="57">
        <v>140</v>
      </c>
      <c r="J142" s="120">
        <v>150</v>
      </c>
      <c r="K142" s="120">
        <v>1</v>
      </c>
      <c r="L142" s="120">
        <v>50</v>
      </c>
      <c r="M142" s="120">
        <v>15</v>
      </c>
      <c r="N142" s="120">
        <v>40</v>
      </c>
      <c r="O142" s="120">
        <v>2</v>
      </c>
      <c r="P142" s="120">
        <v>5</v>
      </c>
      <c r="Q142" s="120">
        <v>31.5</v>
      </c>
      <c r="R142" s="120">
        <v>25.799999237060501</v>
      </c>
      <c r="S142" s="148">
        <v>25.299999237060501</v>
      </c>
      <c r="T142" s="120">
        <v>65</v>
      </c>
      <c r="U142" s="120">
        <v>23</v>
      </c>
      <c r="V142" s="120">
        <v>-9999</v>
      </c>
      <c r="W142" s="120">
        <v>-9999</v>
      </c>
      <c r="X142" s="120">
        <v>-9999</v>
      </c>
      <c r="Y142" s="120">
        <v>-9999</v>
      </c>
      <c r="Z142" s="120">
        <v>-9999</v>
      </c>
      <c r="AA142" s="120">
        <v>68</v>
      </c>
      <c r="AB142" s="120">
        <v>14.5</v>
      </c>
      <c r="AC142" s="120">
        <v>141</v>
      </c>
      <c r="AD142" s="120">
        <v>1413</v>
      </c>
      <c r="AE142" s="120">
        <v>-9999</v>
      </c>
      <c r="AF142" s="120">
        <v>-9999</v>
      </c>
      <c r="AG142" s="120">
        <v>-9999</v>
      </c>
      <c r="AQ142" s="29">
        <v>2</v>
      </c>
      <c r="AR142" s="29">
        <v>100</v>
      </c>
      <c r="AS142" s="29">
        <v>40</v>
      </c>
      <c r="AT142" s="29" t="e">
        <f>AVERAGEIFS(Compressors!$S:$S,Compressors!$G:$G,AS142,Compressors!$I:$I,AR142,Compressors!$D:$D,AQ142)</f>
        <v>#DIV/0!</v>
      </c>
      <c r="AU142" s="65">
        <f>AU138*0.9</f>
        <v>17.55</v>
      </c>
      <c r="BB142" s="121">
        <v>50</v>
      </c>
      <c r="BC142" s="121">
        <v>18.600000381469702</v>
      </c>
      <c r="BD142" s="125">
        <v>110</v>
      </c>
      <c r="BE142" s="121"/>
      <c r="BF142" s="121"/>
      <c r="BG142" s="121"/>
      <c r="BH142" s="121"/>
      <c r="BI142" s="121"/>
      <c r="BJ142" s="121"/>
      <c r="BK142" s="121"/>
      <c r="BL142" s="121"/>
      <c r="BM142" s="121"/>
      <c r="BO142" s="131">
        <v>125</v>
      </c>
      <c r="BP142" s="139">
        <v>100</v>
      </c>
      <c r="BQ142" s="143" t="s">
        <v>362</v>
      </c>
    </row>
    <row r="143" spans="1:69" x14ac:dyDescent="0.25">
      <c r="A143" s="120">
        <v>142</v>
      </c>
      <c r="B143" s="120" t="b">
        <v>0</v>
      </c>
      <c r="C143" s="120">
        <v>0</v>
      </c>
      <c r="D143" s="61">
        <v>1</v>
      </c>
      <c r="E143" s="120">
        <v>1</v>
      </c>
      <c r="F143" s="120" t="s">
        <v>171</v>
      </c>
      <c r="G143" s="55">
        <v>30</v>
      </c>
      <c r="H143" s="120">
        <v>107</v>
      </c>
      <c r="I143" s="57">
        <v>140</v>
      </c>
      <c r="J143" s="120">
        <v>140</v>
      </c>
      <c r="K143" s="120">
        <v>2</v>
      </c>
      <c r="L143" s="120">
        <v>50</v>
      </c>
      <c r="M143" s="120">
        <v>15</v>
      </c>
      <c r="N143" s="120">
        <v>40</v>
      </c>
      <c r="O143" s="120">
        <v>2</v>
      </c>
      <c r="P143" s="120">
        <v>20</v>
      </c>
      <c r="Q143" s="120">
        <v>33</v>
      </c>
      <c r="R143" s="120">
        <v>27.100000381469702</v>
      </c>
      <c r="S143" s="148">
        <v>25.299999237060501</v>
      </c>
      <c r="T143" s="120">
        <v>65</v>
      </c>
      <c r="U143" s="120">
        <v>23</v>
      </c>
      <c r="V143" s="120">
        <v>-9999</v>
      </c>
      <c r="W143" s="120">
        <v>-9999</v>
      </c>
      <c r="X143" s="120">
        <v>-9999</v>
      </c>
      <c r="Y143" s="120">
        <v>-9999</v>
      </c>
      <c r="Z143" s="120">
        <v>-9999</v>
      </c>
      <c r="AA143" s="120">
        <v>68</v>
      </c>
      <c r="AB143" s="120">
        <v>14.5</v>
      </c>
      <c r="AC143" s="120">
        <v>142</v>
      </c>
      <c r="AD143" s="120">
        <v>1414</v>
      </c>
      <c r="AE143" s="120">
        <v>-9999</v>
      </c>
      <c r="AF143" s="120">
        <v>-9999</v>
      </c>
      <c r="AG143" s="120">
        <v>-9999</v>
      </c>
      <c r="AQ143" s="29">
        <v>2</v>
      </c>
      <c r="AR143" s="29">
        <v>110</v>
      </c>
      <c r="AS143" s="29">
        <v>40</v>
      </c>
      <c r="AT143" s="29" t="e">
        <f>AVERAGEIFS(Compressors!$S:$S,Compressors!$G:$G,AS143,Compressors!$I:$I,AR143,Compressors!$D:$D,AQ143)</f>
        <v>#DIV/0!</v>
      </c>
      <c r="AU143" s="65">
        <f>AU139*0.9</f>
        <v>18.45</v>
      </c>
      <c r="BB143" s="121">
        <v>50</v>
      </c>
      <c r="BC143" s="121">
        <v>20.799999237060501</v>
      </c>
      <c r="BD143" s="125">
        <v>115</v>
      </c>
      <c r="BE143" s="121"/>
      <c r="BF143" s="121"/>
      <c r="BG143" s="121"/>
      <c r="BH143" s="121"/>
      <c r="BI143" s="121"/>
      <c r="BJ143" s="121"/>
      <c r="BK143" s="121"/>
      <c r="BL143" s="121"/>
      <c r="BM143" s="121"/>
      <c r="BO143" s="130">
        <v>125</v>
      </c>
      <c r="BP143" s="139">
        <v>100</v>
      </c>
      <c r="BQ143" s="143" t="s">
        <v>363</v>
      </c>
    </row>
    <row r="144" spans="1:69" x14ac:dyDescent="0.25">
      <c r="A144" s="120">
        <v>143</v>
      </c>
      <c r="B144" s="120" t="b">
        <v>0</v>
      </c>
      <c r="C144" s="120">
        <v>0</v>
      </c>
      <c r="D144" s="61">
        <v>1</v>
      </c>
      <c r="E144" s="120">
        <v>1</v>
      </c>
      <c r="F144" s="120" t="s">
        <v>171</v>
      </c>
      <c r="G144" s="55">
        <v>30</v>
      </c>
      <c r="H144" s="120">
        <v>107</v>
      </c>
      <c r="I144" s="57">
        <v>140</v>
      </c>
      <c r="J144" s="120">
        <v>140</v>
      </c>
      <c r="K144" s="120">
        <v>3</v>
      </c>
      <c r="L144" s="120">
        <v>40</v>
      </c>
      <c r="M144" s="120">
        <v>15</v>
      </c>
      <c r="N144" s="120">
        <v>40</v>
      </c>
      <c r="O144" s="120">
        <v>2</v>
      </c>
      <c r="P144" s="120">
        <v>16.666999816894499</v>
      </c>
      <c r="Q144" s="120">
        <v>33</v>
      </c>
      <c r="R144" s="120">
        <v>27.100000381469702</v>
      </c>
      <c r="S144" s="148">
        <v>25.299999237060501</v>
      </c>
      <c r="T144" s="120">
        <v>57</v>
      </c>
      <c r="U144" s="120">
        <v>23</v>
      </c>
      <c r="V144" s="120">
        <v>-9999</v>
      </c>
      <c r="W144" s="120">
        <v>-9999</v>
      </c>
      <c r="X144" s="120">
        <v>-9999</v>
      </c>
      <c r="Y144" s="120">
        <v>-9999</v>
      </c>
      <c r="Z144" s="120">
        <v>-9999</v>
      </c>
      <c r="AA144" s="120">
        <v>68</v>
      </c>
      <c r="AB144" s="120">
        <v>14.5</v>
      </c>
      <c r="AC144" s="120">
        <v>143</v>
      </c>
      <c r="AD144" s="120">
        <v>1415</v>
      </c>
      <c r="AE144" s="120">
        <v>-9999</v>
      </c>
      <c r="AF144" s="120">
        <v>-9999</v>
      </c>
      <c r="AG144" s="120">
        <v>-9999</v>
      </c>
      <c r="AQ144" s="29">
        <v>2</v>
      </c>
      <c r="AR144" s="29">
        <v>115</v>
      </c>
      <c r="AS144" s="29">
        <v>40</v>
      </c>
      <c r="AT144" s="29" t="e">
        <f>AVERAGEIFS(Compressors!$S:$S,Compressors!$G:$G,AS144,Compressors!$I:$I,AR144,Compressors!$D:$D,AQ144)</f>
        <v>#DIV/0!</v>
      </c>
      <c r="AU144" s="65">
        <f>AU140*0.9</f>
        <v>18.900000000000002</v>
      </c>
      <c r="BB144" s="121">
        <v>50</v>
      </c>
      <c r="BC144" s="121">
        <v>20.799999237060501</v>
      </c>
      <c r="BD144" s="125">
        <v>115</v>
      </c>
      <c r="BE144" s="121"/>
      <c r="BF144" s="121"/>
      <c r="BG144" s="121"/>
      <c r="BH144" s="121"/>
      <c r="BI144" s="121"/>
      <c r="BJ144" s="121"/>
      <c r="BK144" s="121"/>
      <c r="BL144" s="121"/>
      <c r="BM144" s="121"/>
      <c r="BO144" s="130">
        <v>125</v>
      </c>
      <c r="BP144" s="139">
        <v>110</v>
      </c>
      <c r="BQ144" s="142" t="s">
        <v>108</v>
      </c>
    </row>
    <row r="145" spans="1:69" x14ac:dyDescent="0.25">
      <c r="A145" s="120">
        <v>144</v>
      </c>
      <c r="B145" s="120" t="b">
        <v>0</v>
      </c>
      <c r="C145" s="120">
        <v>0</v>
      </c>
      <c r="D145" s="61">
        <v>1</v>
      </c>
      <c r="E145" s="120">
        <v>1</v>
      </c>
      <c r="F145" s="120" t="s">
        <v>171</v>
      </c>
      <c r="G145" s="55">
        <v>30</v>
      </c>
      <c r="H145" s="120">
        <v>102</v>
      </c>
      <c r="I145" s="57">
        <v>140</v>
      </c>
      <c r="J145" s="120">
        <v>150</v>
      </c>
      <c r="K145" s="120">
        <v>4</v>
      </c>
      <c r="L145" s="120">
        <v>100</v>
      </c>
      <c r="M145" s="120">
        <v>15</v>
      </c>
      <c r="N145" s="120">
        <v>40</v>
      </c>
      <c r="O145" s="120">
        <v>2</v>
      </c>
      <c r="P145" s="120">
        <v>-9999</v>
      </c>
      <c r="Q145" s="120">
        <v>31.5</v>
      </c>
      <c r="R145" s="120">
        <v>25.799999237060501</v>
      </c>
      <c r="S145" s="148">
        <v>25.299999237060501</v>
      </c>
      <c r="T145" s="120">
        <v>-9999</v>
      </c>
      <c r="U145" s="120">
        <v>23</v>
      </c>
      <c r="V145" s="120">
        <v>-9999</v>
      </c>
      <c r="W145" s="120">
        <v>-9999</v>
      </c>
      <c r="X145" s="120">
        <v>-9999</v>
      </c>
      <c r="Y145" s="120">
        <v>-9999</v>
      </c>
      <c r="Z145" s="120">
        <v>-9999</v>
      </c>
      <c r="AA145" s="120">
        <v>68</v>
      </c>
      <c r="AB145" s="120">
        <v>14.5</v>
      </c>
      <c r="AC145" s="120">
        <v>144</v>
      </c>
      <c r="AD145" s="120">
        <v>1416</v>
      </c>
      <c r="AE145" s="120">
        <v>-9999</v>
      </c>
      <c r="AF145" s="120">
        <v>-9999</v>
      </c>
      <c r="AG145" s="120">
        <v>-9999</v>
      </c>
      <c r="AQ145" s="29">
        <v>2</v>
      </c>
      <c r="AR145" s="29">
        <v>125</v>
      </c>
      <c r="AS145" s="29">
        <v>40</v>
      </c>
      <c r="AT145" s="29" t="e">
        <f>AVERAGEIFS(Compressors!$S:$S,Compressors!$G:$G,AS145,Compressors!$I:$I,AR145,Compressors!$D:$D,AQ145)</f>
        <v>#DIV/0!</v>
      </c>
      <c r="AU145" s="65">
        <f>AU141*0.9</f>
        <v>20.7</v>
      </c>
      <c r="BB145" s="121">
        <v>50</v>
      </c>
      <c r="BC145" s="121">
        <v>20.799999237060501</v>
      </c>
      <c r="BD145" s="125">
        <v>115</v>
      </c>
      <c r="BE145" s="121"/>
      <c r="BF145" s="121"/>
      <c r="BG145" s="121"/>
      <c r="BH145" s="121"/>
      <c r="BI145" s="121"/>
      <c r="BJ145" s="121"/>
      <c r="BK145" s="121"/>
      <c r="BL145" s="121"/>
      <c r="BM145" s="121"/>
      <c r="BO145" s="131">
        <v>125</v>
      </c>
      <c r="BP145" s="139">
        <v>110</v>
      </c>
      <c r="BQ145" s="143" t="s">
        <v>491</v>
      </c>
    </row>
    <row r="146" spans="1:69" x14ac:dyDescent="0.25">
      <c r="A146" s="120">
        <v>145</v>
      </c>
      <c r="B146" s="120" t="b">
        <v>0</v>
      </c>
      <c r="C146" s="120">
        <v>0</v>
      </c>
      <c r="D146" s="61">
        <v>1</v>
      </c>
      <c r="E146" s="120">
        <v>1</v>
      </c>
      <c r="F146" s="120" t="s">
        <v>171</v>
      </c>
      <c r="G146" s="55">
        <v>30</v>
      </c>
      <c r="H146" s="120">
        <v>102</v>
      </c>
      <c r="I146" s="57">
        <v>140</v>
      </c>
      <c r="J146" s="120">
        <v>150</v>
      </c>
      <c r="K146" s="120">
        <v>11</v>
      </c>
      <c r="L146" s="120">
        <v>60</v>
      </c>
      <c r="M146" s="120">
        <v>15</v>
      </c>
      <c r="N146" s="120">
        <v>40</v>
      </c>
      <c r="O146" s="120">
        <v>2</v>
      </c>
      <c r="P146" s="120">
        <v>25</v>
      </c>
      <c r="Q146" s="120">
        <v>31.5</v>
      </c>
      <c r="R146" s="120">
        <v>25.799999237060501</v>
      </c>
      <c r="S146" s="148">
        <v>25.299999237060501</v>
      </c>
      <c r="T146" s="120">
        <v>70</v>
      </c>
      <c r="U146" s="120">
        <v>23</v>
      </c>
      <c r="V146" s="120">
        <v>-9999</v>
      </c>
      <c r="W146" s="120">
        <v>-9999</v>
      </c>
      <c r="X146" s="120">
        <v>-9999</v>
      </c>
      <c r="Y146" s="120">
        <v>-9999</v>
      </c>
      <c r="Z146" s="120">
        <v>-9999</v>
      </c>
      <c r="AA146" s="120">
        <v>68</v>
      </c>
      <c r="AB146" s="120">
        <v>14.5</v>
      </c>
      <c r="AC146" s="120">
        <v>145</v>
      </c>
      <c r="AD146" s="120">
        <v>1417</v>
      </c>
      <c r="AE146" s="120">
        <v>-9999</v>
      </c>
      <c r="AF146" s="120">
        <v>-9999</v>
      </c>
      <c r="AG146" s="120">
        <v>-9999</v>
      </c>
      <c r="AQ146" s="29">
        <v>4</v>
      </c>
      <c r="AR146" s="29">
        <v>100</v>
      </c>
      <c r="AS146" s="29">
        <v>40</v>
      </c>
      <c r="AT146" s="29">
        <f>AVERAGEIFS(Compressors!$S:$S,Compressors!$G:$G,AS146,Compressors!$I:$I,AR146,Compressors!$D:$D,AQ146)</f>
        <v>19.399999618530298</v>
      </c>
      <c r="AU146" s="29">
        <v>19.399999618530298</v>
      </c>
      <c r="AV146">
        <f>AU146/AU138</f>
        <v>0.99487177530924609</v>
      </c>
      <c r="BB146" s="121">
        <v>50</v>
      </c>
      <c r="BC146" s="121">
        <v>20.799999237060501</v>
      </c>
      <c r="BD146" s="125">
        <v>115</v>
      </c>
      <c r="BE146" s="121"/>
      <c r="BF146" s="121"/>
      <c r="BG146" s="121"/>
      <c r="BH146" s="121"/>
      <c r="BI146" s="121"/>
      <c r="BJ146" s="121"/>
      <c r="BK146" s="121"/>
      <c r="BL146" s="121"/>
      <c r="BM146" s="121"/>
      <c r="BO146" s="130">
        <v>125</v>
      </c>
      <c r="BP146" s="139">
        <v>110</v>
      </c>
      <c r="BQ146" s="143" t="s">
        <v>363</v>
      </c>
    </row>
    <row r="147" spans="1:69" x14ac:dyDescent="0.25">
      <c r="A147" s="120">
        <v>146</v>
      </c>
      <c r="B147" s="120" t="b">
        <v>0</v>
      </c>
      <c r="C147" s="120">
        <v>0</v>
      </c>
      <c r="D147" s="61">
        <v>1</v>
      </c>
      <c r="E147" s="120">
        <v>1</v>
      </c>
      <c r="F147" s="120" t="s">
        <v>171</v>
      </c>
      <c r="G147" s="55">
        <v>30</v>
      </c>
      <c r="H147" s="120">
        <v>105</v>
      </c>
      <c r="I147" s="57">
        <v>150</v>
      </c>
      <c r="J147" s="120">
        <v>160</v>
      </c>
      <c r="K147" s="120">
        <v>1</v>
      </c>
      <c r="L147" s="120">
        <v>50</v>
      </c>
      <c r="M147" s="120">
        <v>15</v>
      </c>
      <c r="N147" s="120">
        <v>40</v>
      </c>
      <c r="O147" s="120">
        <v>2</v>
      </c>
      <c r="P147" s="120">
        <v>5</v>
      </c>
      <c r="Q147" s="120">
        <v>31.5</v>
      </c>
      <c r="R147" s="120">
        <v>25.799999237060501</v>
      </c>
      <c r="S147" s="148">
        <v>24.600000381469702</v>
      </c>
      <c r="T147" s="120">
        <v>65</v>
      </c>
      <c r="U147" s="120">
        <v>23</v>
      </c>
      <c r="V147" s="120">
        <v>-9999</v>
      </c>
      <c r="W147" s="120">
        <v>-9999</v>
      </c>
      <c r="X147" s="120">
        <v>-9999</v>
      </c>
      <c r="Y147" s="120">
        <v>-9999</v>
      </c>
      <c r="Z147" s="120">
        <v>-9999</v>
      </c>
      <c r="AA147" s="120">
        <v>68</v>
      </c>
      <c r="AB147" s="120">
        <v>14.5</v>
      </c>
      <c r="AC147" s="120">
        <v>146</v>
      </c>
      <c r="AD147" s="120">
        <v>1418</v>
      </c>
      <c r="AE147" s="120">
        <v>-9999</v>
      </c>
      <c r="AF147" s="120">
        <v>-9999</v>
      </c>
      <c r="AG147" s="120">
        <v>-9999</v>
      </c>
      <c r="AQ147" s="29">
        <v>4</v>
      </c>
      <c r="AR147" s="29">
        <v>110</v>
      </c>
      <c r="AS147" s="29">
        <v>40</v>
      </c>
      <c r="AT147" s="29">
        <f>AVERAGEIFS(Compressors!$S:$S,Compressors!$G:$G,AS147,Compressors!$I:$I,AR147,Compressors!$D:$D,AQ147)</f>
        <v>20.600000381469702</v>
      </c>
      <c r="AU147" s="29">
        <v>20.600000381469702</v>
      </c>
      <c r="BB147" s="121">
        <v>50</v>
      </c>
      <c r="BC147" s="121">
        <v>20.799999237060501</v>
      </c>
      <c r="BD147" s="125">
        <v>115</v>
      </c>
      <c r="BE147" s="121"/>
      <c r="BF147" s="121"/>
      <c r="BG147" s="121"/>
      <c r="BH147" s="121"/>
      <c r="BI147" s="121"/>
      <c r="BJ147" s="121"/>
      <c r="BK147" s="121"/>
      <c r="BL147" s="121"/>
      <c r="BM147" s="121"/>
      <c r="BO147" s="130">
        <v>125</v>
      </c>
      <c r="BP147" s="139">
        <v>115</v>
      </c>
      <c r="BQ147" s="142" t="s">
        <v>108</v>
      </c>
    </row>
    <row r="148" spans="1:69" x14ac:dyDescent="0.25">
      <c r="A148" s="120">
        <v>147</v>
      </c>
      <c r="B148" s="120" t="b">
        <v>0</v>
      </c>
      <c r="C148" s="120">
        <v>0</v>
      </c>
      <c r="D148" s="61">
        <v>1</v>
      </c>
      <c r="E148" s="120">
        <v>1</v>
      </c>
      <c r="F148" s="120" t="s">
        <v>171</v>
      </c>
      <c r="G148" s="55">
        <v>30</v>
      </c>
      <c r="H148" s="120">
        <v>110</v>
      </c>
      <c r="I148" s="57">
        <v>150</v>
      </c>
      <c r="J148" s="120">
        <v>150</v>
      </c>
      <c r="K148" s="120">
        <v>2</v>
      </c>
      <c r="L148" s="120">
        <v>50</v>
      </c>
      <c r="M148" s="120">
        <v>15</v>
      </c>
      <c r="N148" s="120">
        <v>40</v>
      </c>
      <c r="O148" s="120">
        <v>2</v>
      </c>
      <c r="P148" s="120">
        <v>20</v>
      </c>
      <c r="Q148" s="120">
        <v>33</v>
      </c>
      <c r="R148" s="120">
        <v>27.100000381469702</v>
      </c>
      <c r="S148" s="148">
        <v>24.600000381469702</v>
      </c>
      <c r="T148" s="120">
        <v>65</v>
      </c>
      <c r="U148" s="120">
        <v>23</v>
      </c>
      <c r="V148" s="120">
        <v>-9999</v>
      </c>
      <c r="W148" s="120">
        <v>-9999</v>
      </c>
      <c r="X148" s="120">
        <v>-9999</v>
      </c>
      <c r="Y148" s="120">
        <v>-9999</v>
      </c>
      <c r="Z148" s="120">
        <v>-9999</v>
      </c>
      <c r="AA148" s="120">
        <v>68</v>
      </c>
      <c r="AB148" s="120">
        <v>14.5</v>
      </c>
      <c r="AC148" s="120">
        <v>147</v>
      </c>
      <c r="AD148" s="120">
        <v>1419</v>
      </c>
      <c r="AE148" s="120">
        <v>-9999</v>
      </c>
      <c r="AF148" s="120">
        <v>-9999</v>
      </c>
      <c r="AG148" s="120">
        <v>-9999</v>
      </c>
      <c r="AQ148" s="29">
        <v>4</v>
      </c>
      <c r="AR148" s="29">
        <v>115</v>
      </c>
      <c r="AS148" s="29">
        <v>40</v>
      </c>
      <c r="AT148" s="29" t="e">
        <f>AVERAGEIFS(Compressors!$S:$S,Compressors!$G:$G,AS148,Compressors!$I:$I,AR148,Compressors!$D:$D,AQ148)</f>
        <v>#DIV/0!</v>
      </c>
      <c r="BB148" s="121">
        <v>50</v>
      </c>
      <c r="BC148" s="121">
        <v>21.600000381469702</v>
      </c>
      <c r="BD148" s="125">
        <v>125</v>
      </c>
      <c r="BE148" s="121"/>
      <c r="BF148" s="121"/>
      <c r="BG148" s="121"/>
      <c r="BH148" s="121"/>
      <c r="BI148" s="121"/>
      <c r="BJ148" s="121"/>
      <c r="BK148" s="121"/>
      <c r="BL148" s="121"/>
      <c r="BM148" s="121"/>
      <c r="BO148" s="131">
        <v>125</v>
      </c>
      <c r="BP148" s="139">
        <v>115</v>
      </c>
      <c r="BQ148" s="143" t="s">
        <v>491</v>
      </c>
    </row>
    <row r="149" spans="1:69" x14ac:dyDescent="0.25">
      <c r="A149" s="120">
        <v>148</v>
      </c>
      <c r="B149" s="120" t="b">
        <v>0</v>
      </c>
      <c r="C149" s="120">
        <v>0</v>
      </c>
      <c r="D149" s="61">
        <v>1</v>
      </c>
      <c r="E149" s="120">
        <v>1</v>
      </c>
      <c r="F149" s="120" t="s">
        <v>171</v>
      </c>
      <c r="G149" s="55">
        <v>30</v>
      </c>
      <c r="H149" s="120">
        <v>110</v>
      </c>
      <c r="I149" s="57">
        <v>150</v>
      </c>
      <c r="J149" s="120">
        <v>150</v>
      </c>
      <c r="K149" s="120">
        <v>3</v>
      </c>
      <c r="L149" s="120">
        <v>40</v>
      </c>
      <c r="M149" s="120">
        <v>15</v>
      </c>
      <c r="N149" s="120">
        <v>40</v>
      </c>
      <c r="O149" s="120">
        <v>2</v>
      </c>
      <c r="P149" s="120">
        <v>16.666999816894499</v>
      </c>
      <c r="Q149" s="120">
        <v>33</v>
      </c>
      <c r="R149" s="120">
        <v>27.100000381469702</v>
      </c>
      <c r="S149" s="148">
        <v>24.600000381469702</v>
      </c>
      <c r="T149" s="120">
        <v>57</v>
      </c>
      <c r="U149" s="120">
        <v>23</v>
      </c>
      <c r="V149" s="120">
        <v>-9999</v>
      </c>
      <c r="W149" s="120">
        <v>-9999</v>
      </c>
      <c r="X149" s="120">
        <v>-9999</v>
      </c>
      <c r="Y149" s="120">
        <v>-9999</v>
      </c>
      <c r="Z149" s="120">
        <v>-9999</v>
      </c>
      <c r="AA149" s="120">
        <v>68</v>
      </c>
      <c r="AB149" s="120">
        <v>14.5</v>
      </c>
      <c r="AC149" s="120">
        <v>148</v>
      </c>
      <c r="AD149" s="120">
        <v>1420</v>
      </c>
      <c r="AE149" s="120">
        <v>-9999</v>
      </c>
      <c r="AF149" s="120">
        <v>-9999</v>
      </c>
      <c r="AG149" s="120">
        <v>-9999</v>
      </c>
      <c r="AQ149" s="29">
        <v>4</v>
      </c>
      <c r="AR149" s="29">
        <v>125</v>
      </c>
      <c r="AS149" s="29">
        <v>40</v>
      </c>
      <c r="AT149" s="29">
        <f>AVERAGEIFS(Compressors!$S:$S,Compressors!$G:$G,AS149,Compressors!$I:$I,AR149,Compressors!$D:$D,AQ149)</f>
        <v>22.299999237060501</v>
      </c>
      <c r="AU149" s="29">
        <v>22.299999237060501</v>
      </c>
      <c r="AV149">
        <f>AU149/AU141</f>
        <v>0.9695651842200218</v>
      </c>
      <c r="AW149">
        <f>AVERAGE(AV149,AV146)</f>
        <v>0.98221847976463394</v>
      </c>
      <c r="AX149" t="s">
        <v>366</v>
      </c>
      <c r="BB149" s="121">
        <v>50</v>
      </c>
      <c r="BC149" s="121">
        <v>21.600000381469702</v>
      </c>
      <c r="BD149" s="125">
        <v>125</v>
      </c>
      <c r="BE149" s="121"/>
      <c r="BF149" s="121"/>
      <c r="BG149" s="121"/>
      <c r="BH149" s="121"/>
      <c r="BI149" s="121"/>
      <c r="BJ149" s="121"/>
      <c r="BK149" s="121"/>
      <c r="BL149" s="121"/>
      <c r="BM149" s="121"/>
      <c r="BO149" s="130">
        <v>125</v>
      </c>
      <c r="BP149" s="139">
        <v>115</v>
      </c>
      <c r="BQ149" s="143" t="s">
        <v>362</v>
      </c>
    </row>
    <row r="150" spans="1:69" x14ac:dyDescent="0.25">
      <c r="A150" s="120">
        <v>149</v>
      </c>
      <c r="B150" s="120" t="b">
        <v>0</v>
      </c>
      <c r="C150" s="120">
        <v>0</v>
      </c>
      <c r="D150" s="61">
        <v>1</v>
      </c>
      <c r="E150" s="120">
        <v>1</v>
      </c>
      <c r="F150" s="120" t="s">
        <v>171</v>
      </c>
      <c r="G150" s="55">
        <v>30</v>
      </c>
      <c r="H150" s="120">
        <v>105</v>
      </c>
      <c r="I150" s="57">
        <v>150</v>
      </c>
      <c r="J150" s="120">
        <v>160</v>
      </c>
      <c r="K150" s="120">
        <v>4</v>
      </c>
      <c r="L150" s="120">
        <v>100</v>
      </c>
      <c r="M150" s="120">
        <v>15</v>
      </c>
      <c r="N150" s="120">
        <v>40</v>
      </c>
      <c r="O150" s="120">
        <v>2</v>
      </c>
      <c r="P150" s="120">
        <v>-9999</v>
      </c>
      <c r="Q150" s="120">
        <v>31.5</v>
      </c>
      <c r="R150" s="120">
        <v>25.799999237060501</v>
      </c>
      <c r="S150" s="148">
        <v>24.600000381469702</v>
      </c>
      <c r="T150" s="120">
        <v>-9999</v>
      </c>
      <c r="U150" s="120">
        <v>23</v>
      </c>
      <c r="V150" s="120">
        <v>-9999</v>
      </c>
      <c r="W150" s="120">
        <v>-9999</v>
      </c>
      <c r="X150" s="120">
        <v>-9999</v>
      </c>
      <c r="Y150" s="120">
        <v>-9999</v>
      </c>
      <c r="Z150" s="120">
        <v>-9999</v>
      </c>
      <c r="AA150" s="120">
        <v>68</v>
      </c>
      <c r="AB150" s="120">
        <v>14.5</v>
      </c>
      <c r="AC150" s="120">
        <v>149</v>
      </c>
      <c r="AD150" s="120">
        <v>1421</v>
      </c>
      <c r="AE150" s="120">
        <v>-9999</v>
      </c>
      <c r="AF150" s="120">
        <v>-9999</v>
      </c>
      <c r="AG150" s="120">
        <v>-9999</v>
      </c>
      <c r="AQ150" s="29">
        <v>5</v>
      </c>
      <c r="AR150" s="29">
        <v>100</v>
      </c>
      <c r="AS150" s="29">
        <v>40</v>
      </c>
      <c r="AT150" s="29">
        <f>AVERAGEIFS(Compressors!$S:$S,Compressors!$G:$G,AS150,Compressors!$I:$I,AR150,Compressors!$D:$D,AQ150)</f>
        <v>17</v>
      </c>
      <c r="AU150" s="29">
        <v>17</v>
      </c>
      <c r="BB150" s="121">
        <v>50</v>
      </c>
      <c r="BC150" s="121">
        <v>21.600000381469702</v>
      </c>
      <c r="BD150" s="125">
        <v>125</v>
      </c>
      <c r="BE150" s="121"/>
      <c r="BF150" s="121"/>
      <c r="BG150" s="121"/>
      <c r="BH150" s="121"/>
      <c r="BI150" s="121"/>
      <c r="BJ150" s="121"/>
      <c r="BK150" s="121"/>
      <c r="BL150" s="121"/>
      <c r="BM150" s="121"/>
      <c r="BO150" s="131">
        <v>125</v>
      </c>
      <c r="BP150" s="139">
        <v>115</v>
      </c>
      <c r="BQ150" s="143" t="s">
        <v>363</v>
      </c>
    </row>
    <row r="151" spans="1:69" x14ac:dyDescent="0.25">
      <c r="A151" s="120">
        <v>150</v>
      </c>
      <c r="B151" s="120" t="b">
        <v>0</v>
      </c>
      <c r="C151" s="120">
        <v>0</v>
      </c>
      <c r="D151" s="61">
        <v>1</v>
      </c>
      <c r="E151" s="120">
        <v>1</v>
      </c>
      <c r="F151" s="120" t="s">
        <v>171</v>
      </c>
      <c r="G151" s="55">
        <v>30</v>
      </c>
      <c r="H151" s="120">
        <v>105</v>
      </c>
      <c r="I151" s="57">
        <v>150</v>
      </c>
      <c r="J151" s="120">
        <v>160</v>
      </c>
      <c r="K151" s="120">
        <v>11</v>
      </c>
      <c r="L151" s="120">
        <v>60</v>
      </c>
      <c r="M151" s="120">
        <v>15</v>
      </c>
      <c r="N151" s="120">
        <v>40</v>
      </c>
      <c r="O151" s="120">
        <v>2</v>
      </c>
      <c r="P151" s="120">
        <v>25</v>
      </c>
      <c r="Q151" s="120">
        <v>31.5</v>
      </c>
      <c r="R151" s="120">
        <v>25.799999237060501</v>
      </c>
      <c r="S151" s="148">
        <v>24.600000381469702</v>
      </c>
      <c r="T151" s="120">
        <v>70</v>
      </c>
      <c r="U151" s="120">
        <v>23</v>
      </c>
      <c r="V151" s="120">
        <v>-9999</v>
      </c>
      <c r="W151" s="120">
        <v>-9999</v>
      </c>
      <c r="X151" s="120">
        <v>-9999</v>
      </c>
      <c r="Y151" s="120">
        <v>-9999</v>
      </c>
      <c r="Z151" s="120">
        <v>-9999</v>
      </c>
      <c r="AA151" s="120">
        <v>68</v>
      </c>
      <c r="AB151" s="120">
        <v>14.5</v>
      </c>
      <c r="AC151" s="120">
        <v>150</v>
      </c>
      <c r="AD151" s="120">
        <v>1422</v>
      </c>
      <c r="AE151" s="120">
        <v>-9999</v>
      </c>
      <c r="AF151" s="120">
        <v>-9999</v>
      </c>
      <c r="AG151" s="120">
        <v>-9999</v>
      </c>
      <c r="AQ151" s="29">
        <v>5</v>
      </c>
      <c r="AR151" s="29">
        <v>110</v>
      </c>
      <c r="AS151" s="29">
        <v>40</v>
      </c>
      <c r="AT151" s="29">
        <f>AVERAGEIFS(Compressors!$S:$S,Compressors!$G:$G,AS151,Compressors!$I:$I,AR151,Compressors!$D:$D,AQ151)</f>
        <v>17.600000381469702</v>
      </c>
      <c r="AU151" s="29">
        <v>17.600000381469702</v>
      </c>
      <c r="BB151" s="121">
        <v>50</v>
      </c>
      <c r="BC151" s="121">
        <v>21.600000381469702</v>
      </c>
      <c r="BD151" s="125">
        <v>125</v>
      </c>
      <c r="BE151" s="121"/>
      <c r="BF151" s="121"/>
      <c r="BG151" s="121"/>
      <c r="BH151" s="121"/>
      <c r="BI151" s="121"/>
      <c r="BJ151" s="121"/>
      <c r="BK151" s="121"/>
      <c r="BL151" s="121"/>
      <c r="BM151" s="121"/>
      <c r="BO151" s="130">
        <v>125</v>
      </c>
      <c r="BP151" s="139">
        <v>125</v>
      </c>
      <c r="BQ151" s="142" t="s">
        <v>108</v>
      </c>
    </row>
    <row r="152" spans="1:69" x14ac:dyDescent="0.25">
      <c r="A152" s="120">
        <v>151</v>
      </c>
      <c r="B152" s="120" t="b">
        <v>0</v>
      </c>
      <c r="C152" s="120">
        <v>0</v>
      </c>
      <c r="D152" s="61">
        <v>1</v>
      </c>
      <c r="E152" s="120">
        <v>1</v>
      </c>
      <c r="F152" s="120" t="s">
        <v>171</v>
      </c>
      <c r="G152" s="55">
        <v>30</v>
      </c>
      <c r="H152" s="120">
        <v>93</v>
      </c>
      <c r="I152" s="57">
        <v>175</v>
      </c>
      <c r="J152" s="120">
        <v>185</v>
      </c>
      <c r="K152" s="120">
        <v>1</v>
      </c>
      <c r="L152" s="120">
        <v>50</v>
      </c>
      <c r="M152" s="120">
        <v>15</v>
      </c>
      <c r="N152" s="120">
        <v>40</v>
      </c>
      <c r="O152" s="120">
        <v>2</v>
      </c>
      <c r="P152" s="120">
        <v>5</v>
      </c>
      <c r="Q152" s="120">
        <v>31.5</v>
      </c>
      <c r="R152" s="120">
        <v>25.799999237060501</v>
      </c>
      <c r="S152" s="148">
        <v>27.600000381469702</v>
      </c>
      <c r="T152" s="120">
        <v>65</v>
      </c>
      <c r="U152" s="120">
        <v>20</v>
      </c>
      <c r="V152" s="120">
        <v>-9999</v>
      </c>
      <c r="W152" s="120">
        <v>-9999</v>
      </c>
      <c r="X152" s="120">
        <v>-9999</v>
      </c>
      <c r="Y152" s="120">
        <v>-9999</v>
      </c>
      <c r="Z152" s="120">
        <v>-9999</v>
      </c>
      <c r="AA152" s="120">
        <v>68</v>
      </c>
      <c r="AB152" s="120">
        <v>14.5</v>
      </c>
      <c r="AC152" s="120">
        <v>151</v>
      </c>
      <c r="AD152" s="120">
        <v>1423</v>
      </c>
      <c r="AE152" s="120">
        <v>-9999</v>
      </c>
      <c r="AF152" s="120">
        <v>-9999</v>
      </c>
      <c r="AG152" s="120">
        <v>-9999</v>
      </c>
      <c r="AQ152" s="29">
        <v>5</v>
      </c>
      <c r="AR152" s="29">
        <v>115</v>
      </c>
      <c r="AS152" s="29">
        <v>40</v>
      </c>
      <c r="AT152" s="29" t="e">
        <f>AVERAGEIFS(Compressors!$S:$S,Compressors!$G:$G,AS152,Compressors!$I:$I,AR152,Compressors!$D:$D,AQ152)</f>
        <v>#DIV/0!</v>
      </c>
      <c r="BB152" s="121">
        <v>50</v>
      </c>
      <c r="BC152" s="121">
        <v>21.600000381469702</v>
      </c>
      <c r="BD152" s="125">
        <v>125</v>
      </c>
      <c r="BE152" s="121"/>
      <c r="BF152" s="121"/>
      <c r="BG152" s="121"/>
      <c r="BH152" s="121"/>
      <c r="BI152" s="121"/>
      <c r="BJ152" s="121"/>
      <c r="BK152" s="121"/>
      <c r="BL152" s="121"/>
      <c r="BM152" s="121"/>
      <c r="BO152" s="130">
        <v>125</v>
      </c>
      <c r="BP152" s="139">
        <v>125</v>
      </c>
      <c r="BQ152" s="143" t="s">
        <v>491</v>
      </c>
    </row>
    <row r="153" spans="1:69" x14ac:dyDescent="0.25">
      <c r="A153" s="120">
        <v>152</v>
      </c>
      <c r="B153" s="120" t="b">
        <v>0</v>
      </c>
      <c r="C153" s="120">
        <v>0</v>
      </c>
      <c r="D153" s="61">
        <v>1</v>
      </c>
      <c r="E153" s="120">
        <v>1</v>
      </c>
      <c r="F153" s="120" t="s">
        <v>171</v>
      </c>
      <c r="G153" s="55">
        <v>30</v>
      </c>
      <c r="H153" s="120">
        <v>98</v>
      </c>
      <c r="I153" s="57">
        <v>175</v>
      </c>
      <c r="J153" s="120">
        <v>175</v>
      </c>
      <c r="K153" s="120">
        <v>2</v>
      </c>
      <c r="L153" s="120">
        <v>50</v>
      </c>
      <c r="M153" s="120">
        <v>15</v>
      </c>
      <c r="N153" s="120">
        <v>40</v>
      </c>
      <c r="O153" s="120">
        <v>2</v>
      </c>
      <c r="P153" s="120">
        <v>20</v>
      </c>
      <c r="Q153" s="120">
        <v>33</v>
      </c>
      <c r="R153" s="120">
        <v>27.100000381469702</v>
      </c>
      <c r="S153" s="148">
        <v>27.600000381469702</v>
      </c>
      <c r="T153" s="120">
        <v>65</v>
      </c>
      <c r="U153" s="120">
        <v>20</v>
      </c>
      <c r="V153" s="120">
        <v>-9999</v>
      </c>
      <c r="W153" s="120">
        <v>-9999</v>
      </c>
      <c r="X153" s="120">
        <v>-9999</v>
      </c>
      <c r="Y153" s="120">
        <v>-9999</v>
      </c>
      <c r="Z153" s="120">
        <v>-9999</v>
      </c>
      <c r="AA153" s="120">
        <v>68</v>
      </c>
      <c r="AB153" s="120">
        <v>14.5</v>
      </c>
      <c r="AC153" s="120">
        <v>152</v>
      </c>
      <c r="AD153" s="120">
        <v>1424</v>
      </c>
      <c r="AE153" s="120">
        <v>-9999</v>
      </c>
      <c r="AF153" s="120">
        <v>-9999</v>
      </c>
      <c r="AG153" s="120">
        <v>-9999</v>
      </c>
      <c r="AQ153" s="29">
        <v>5</v>
      </c>
      <c r="AR153" s="29">
        <v>125</v>
      </c>
      <c r="AS153" s="29">
        <v>40</v>
      </c>
      <c r="AT153" s="29">
        <f>AVERAGEIFS(Compressors!$S:$S,Compressors!$G:$G,AS153,Compressors!$I:$I,AR153,Compressors!$D:$D,AQ153)</f>
        <v>18.5</v>
      </c>
      <c r="AU153" s="29">
        <v>18.5</v>
      </c>
      <c r="BB153" s="121">
        <v>60</v>
      </c>
      <c r="BC153" s="121">
        <v>18.799999237060501</v>
      </c>
      <c r="BD153" s="125">
        <v>100</v>
      </c>
      <c r="BE153" s="121"/>
      <c r="BF153" s="121"/>
      <c r="BG153" s="121"/>
      <c r="BH153" s="121"/>
      <c r="BI153" s="121"/>
      <c r="BJ153" s="121"/>
      <c r="BK153" s="121"/>
      <c r="BL153" s="121"/>
      <c r="BM153" s="121"/>
      <c r="BO153" s="131">
        <v>125</v>
      </c>
      <c r="BP153" s="139">
        <v>125</v>
      </c>
      <c r="BQ153" s="143" t="s">
        <v>362</v>
      </c>
    </row>
    <row r="154" spans="1:69" x14ac:dyDescent="0.25">
      <c r="A154" s="120">
        <v>153</v>
      </c>
      <c r="B154" s="120" t="b">
        <v>0</v>
      </c>
      <c r="C154" s="120">
        <v>0</v>
      </c>
      <c r="D154" s="61">
        <v>1</v>
      </c>
      <c r="E154" s="120">
        <v>1</v>
      </c>
      <c r="F154" s="120" t="s">
        <v>171</v>
      </c>
      <c r="G154" s="55">
        <v>30</v>
      </c>
      <c r="H154" s="120">
        <v>98</v>
      </c>
      <c r="I154" s="57">
        <v>175</v>
      </c>
      <c r="J154" s="120">
        <v>175</v>
      </c>
      <c r="K154" s="120">
        <v>3</v>
      </c>
      <c r="L154" s="120">
        <v>40</v>
      </c>
      <c r="M154" s="120">
        <v>15</v>
      </c>
      <c r="N154" s="120">
        <v>40</v>
      </c>
      <c r="O154" s="120">
        <v>2</v>
      </c>
      <c r="P154" s="120">
        <v>16.666999816894499</v>
      </c>
      <c r="Q154" s="120">
        <v>33</v>
      </c>
      <c r="R154" s="120">
        <v>27.100000381469702</v>
      </c>
      <c r="S154" s="148">
        <v>27.600000381469702</v>
      </c>
      <c r="T154" s="120">
        <v>57</v>
      </c>
      <c r="U154" s="120">
        <v>20</v>
      </c>
      <c r="V154" s="120">
        <v>-9999</v>
      </c>
      <c r="W154" s="120">
        <v>-9999</v>
      </c>
      <c r="X154" s="120">
        <v>-9999</v>
      </c>
      <c r="Y154" s="120">
        <v>-9999</v>
      </c>
      <c r="Z154" s="120">
        <v>-9999</v>
      </c>
      <c r="AA154" s="120">
        <v>68</v>
      </c>
      <c r="AB154" s="120">
        <v>14.5</v>
      </c>
      <c r="AC154" s="120">
        <v>153</v>
      </c>
      <c r="AD154" s="120">
        <v>1425</v>
      </c>
      <c r="AE154" s="120">
        <v>-9999</v>
      </c>
      <c r="AF154" s="120">
        <v>-9999</v>
      </c>
      <c r="AG154" s="120">
        <v>-9999</v>
      </c>
      <c r="AQ154" s="29">
        <v>6</v>
      </c>
      <c r="AR154" s="29">
        <v>100</v>
      </c>
      <c r="AS154" s="29">
        <v>40</v>
      </c>
      <c r="AT154" s="29" t="e">
        <f>AVERAGEIFS(Compressors!$S:$S,Compressors!$G:$G,AS154,Compressors!$I:$I,AR154,Compressors!$D:$D,AQ154)</f>
        <v>#DIV/0!</v>
      </c>
      <c r="AU154" s="53"/>
      <c r="BB154" s="121">
        <v>60</v>
      </c>
      <c r="BC154" s="121">
        <v>18.799999237060501</v>
      </c>
      <c r="BD154" s="125">
        <v>100</v>
      </c>
      <c r="BE154" s="121"/>
      <c r="BF154" s="121"/>
      <c r="BG154" s="121"/>
      <c r="BH154" s="121"/>
      <c r="BI154" s="121"/>
      <c r="BJ154" s="121"/>
      <c r="BK154" s="121"/>
      <c r="BL154" s="121"/>
      <c r="BM154" s="121"/>
      <c r="BO154" s="130">
        <v>125</v>
      </c>
      <c r="BP154" s="139">
        <v>125</v>
      </c>
      <c r="BQ154" s="143" t="s">
        <v>363</v>
      </c>
    </row>
    <row r="155" spans="1:69" x14ac:dyDescent="0.25">
      <c r="A155" s="120">
        <v>154</v>
      </c>
      <c r="B155" s="120" t="b">
        <v>0</v>
      </c>
      <c r="C155" s="120">
        <v>0</v>
      </c>
      <c r="D155" s="61">
        <v>1</v>
      </c>
      <c r="E155" s="120">
        <v>1</v>
      </c>
      <c r="F155" s="120" t="s">
        <v>171</v>
      </c>
      <c r="G155" s="55">
        <v>30</v>
      </c>
      <c r="H155" s="120">
        <v>93</v>
      </c>
      <c r="I155" s="57">
        <v>175</v>
      </c>
      <c r="J155" s="120">
        <v>185</v>
      </c>
      <c r="K155" s="120">
        <v>4</v>
      </c>
      <c r="L155" s="120">
        <v>100</v>
      </c>
      <c r="M155" s="120">
        <v>15</v>
      </c>
      <c r="N155" s="120">
        <v>40</v>
      </c>
      <c r="O155" s="120">
        <v>2</v>
      </c>
      <c r="P155" s="120">
        <v>-9999</v>
      </c>
      <c r="Q155" s="120">
        <v>31.5</v>
      </c>
      <c r="R155" s="120">
        <v>25.799999237060501</v>
      </c>
      <c r="S155" s="148">
        <v>27.600000381469702</v>
      </c>
      <c r="T155" s="120">
        <v>-9999</v>
      </c>
      <c r="U155" s="120">
        <v>20</v>
      </c>
      <c r="V155" s="120">
        <v>-9999</v>
      </c>
      <c r="W155" s="120">
        <v>-9999</v>
      </c>
      <c r="X155" s="120">
        <v>-9999</v>
      </c>
      <c r="Y155" s="120">
        <v>-9999</v>
      </c>
      <c r="Z155" s="120">
        <v>-9999</v>
      </c>
      <c r="AA155" s="120">
        <v>68</v>
      </c>
      <c r="AB155" s="120">
        <v>14.5</v>
      </c>
      <c r="AC155" s="120">
        <v>154</v>
      </c>
      <c r="AD155" s="120">
        <v>1426</v>
      </c>
      <c r="AE155" s="120">
        <v>-9999</v>
      </c>
      <c r="AF155" s="120">
        <v>-9999</v>
      </c>
      <c r="AG155" s="120">
        <v>-9999</v>
      </c>
      <c r="AQ155" s="29">
        <v>6</v>
      </c>
      <c r="AR155" s="29">
        <v>110</v>
      </c>
      <c r="AS155" s="29">
        <v>40</v>
      </c>
      <c r="AT155" s="29" t="e">
        <f>AVERAGEIFS(Compressors!$S:$S,Compressors!$G:$G,AS155,Compressors!$I:$I,AR155,Compressors!$D:$D,AQ155)</f>
        <v>#DIV/0!</v>
      </c>
      <c r="AU155" s="53"/>
      <c r="BB155" s="121">
        <v>60</v>
      </c>
      <c r="BC155" s="121">
        <v>18.799999237060501</v>
      </c>
      <c r="BD155" s="125">
        <v>100</v>
      </c>
      <c r="BE155" s="121"/>
      <c r="BF155" s="121"/>
      <c r="BG155" s="121"/>
      <c r="BH155" s="121"/>
      <c r="BI155" s="121"/>
      <c r="BJ155" s="121"/>
      <c r="BK155" s="121"/>
      <c r="BL155" s="121"/>
      <c r="BM155" s="121"/>
      <c r="BO155" s="130">
        <v>150</v>
      </c>
      <c r="BP155" s="139">
        <v>100</v>
      </c>
      <c r="BQ155" s="142" t="s">
        <v>108</v>
      </c>
    </row>
    <row r="156" spans="1:69" x14ac:dyDescent="0.25">
      <c r="A156" s="120">
        <v>155</v>
      </c>
      <c r="B156" s="120" t="b">
        <v>0</v>
      </c>
      <c r="C156" s="120">
        <v>0</v>
      </c>
      <c r="D156" s="61">
        <v>1</v>
      </c>
      <c r="E156" s="120">
        <v>1</v>
      </c>
      <c r="F156" s="120" t="s">
        <v>171</v>
      </c>
      <c r="G156" s="55">
        <v>30</v>
      </c>
      <c r="H156" s="120">
        <v>93</v>
      </c>
      <c r="I156" s="57">
        <v>175</v>
      </c>
      <c r="J156" s="120">
        <v>185</v>
      </c>
      <c r="K156" s="120">
        <v>11</v>
      </c>
      <c r="L156" s="120">
        <v>60</v>
      </c>
      <c r="M156" s="120">
        <v>15</v>
      </c>
      <c r="N156" s="120">
        <v>40</v>
      </c>
      <c r="O156" s="120">
        <v>2</v>
      </c>
      <c r="P156" s="120">
        <v>25</v>
      </c>
      <c r="Q156" s="120">
        <v>31.5</v>
      </c>
      <c r="R156" s="120">
        <v>25.799999237060501</v>
      </c>
      <c r="S156" s="148">
        <v>27.600000381469702</v>
      </c>
      <c r="T156" s="120">
        <v>70</v>
      </c>
      <c r="U156" s="120">
        <v>20</v>
      </c>
      <c r="V156" s="120">
        <v>-9999</v>
      </c>
      <c r="W156" s="120">
        <v>-9999</v>
      </c>
      <c r="X156" s="120">
        <v>-9999</v>
      </c>
      <c r="Y156" s="120">
        <v>-9999</v>
      </c>
      <c r="Z156" s="120">
        <v>-9999</v>
      </c>
      <c r="AA156" s="120">
        <v>68</v>
      </c>
      <c r="AB156" s="120">
        <v>14.5</v>
      </c>
      <c r="AC156" s="120">
        <v>155</v>
      </c>
      <c r="AD156" s="120">
        <v>1427</v>
      </c>
      <c r="AE156" s="120">
        <v>-9999</v>
      </c>
      <c r="AF156" s="120">
        <v>-9999</v>
      </c>
      <c r="AG156" s="120">
        <v>-9999</v>
      </c>
      <c r="AQ156" s="29">
        <v>6</v>
      </c>
      <c r="AR156" s="29">
        <v>115</v>
      </c>
      <c r="AS156" s="29">
        <v>40</v>
      </c>
      <c r="AT156" s="29" t="e">
        <f>AVERAGEIFS(Compressors!$S:$S,Compressors!$G:$G,AS156,Compressors!$I:$I,AR156,Compressors!$D:$D,AQ156)</f>
        <v>#DIV/0!</v>
      </c>
      <c r="AU156" s="53"/>
      <c r="BB156" s="121">
        <v>60</v>
      </c>
      <c r="BC156" s="121">
        <v>18.799999237060501</v>
      </c>
      <c r="BD156" s="125">
        <v>100</v>
      </c>
      <c r="BE156" s="121"/>
      <c r="BF156" s="121"/>
      <c r="BG156" s="121"/>
      <c r="BH156" s="121"/>
      <c r="BI156" s="121"/>
      <c r="BJ156" s="121"/>
      <c r="BK156" s="121"/>
      <c r="BL156" s="121"/>
      <c r="BM156" s="121"/>
      <c r="BO156" s="131">
        <v>150</v>
      </c>
      <c r="BP156" s="139">
        <v>100</v>
      </c>
      <c r="BQ156" s="143" t="s">
        <v>491</v>
      </c>
    </row>
    <row r="157" spans="1:69" x14ac:dyDescent="0.25">
      <c r="A157" s="120">
        <v>156</v>
      </c>
      <c r="B157" s="120" t="b">
        <v>0</v>
      </c>
      <c r="C157" s="120">
        <v>0</v>
      </c>
      <c r="D157" s="61">
        <v>1</v>
      </c>
      <c r="E157" s="120">
        <v>1</v>
      </c>
      <c r="F157" s="120" t="s">
        <v>171</v>
      </c>
      <c r="G157" s="55">
        <v>30</v>
      </c>
      <c r="H157" s="120">
        <v>74</v>
      </c>
      <c r="I157" s="57">
        <v>200</v>
      </c>
      <c r="J157" s="120">
        <v>210</v>
      </c>
      <c r="K157" s="120">
        <v>1</v>
      </c>
      <c r="L157" s="120">
        <v>50</v>
      </c>
      <c r="M157" s="120">
        <v>15</v>
      </c>
      <c r="N157" s="120">
        <v>40</v>
      </c>
      <c r="O157" s="120">
        <v>2</v>
      </c>
      <c r="P157" s="120">
        <v>5</v>
      </c>
      <c r="Q157" s="120">
        <v>31.5</v>
      </c>
      <c r="R157" s="120">
        <v>25.799999237060501</v>
      </c>
      <c r="S157" s="148">
        <v>35</v>
      </c>
      <c r="T157" s="120">
        <v>65</v>
      </c>
      <c r="U157" s="120">
        <v>18</v>
      </c>
      <c r="V157" s="120">
        <v>-9999</v>
      </c>
      <c r="W157" s="120">
        <v>-9999</v>
      </c>
      <c r="X157" s="120">
        <v>-9999</v>
      </c>
      <c r="Y157" s="120">
        <v>-9999</v>
      </c>
      <c r="Z157" s="120">
        <v>-9999</v>
      </c>
      <c r="AA157" s="120">
        <v>68</v>
      </c>
      <c r="AB157" s="120">
        <v>14.5</v>
      </c>
      <c r="AC157" s="120">
        <v>156</v>
      </c>
      <c r="AD157" s="120">
        <v>1428</v>
      </c>
      <c r="AE157" s="120">
        <v>-9999</v>
      </c>
      <c r="AF157" s="120">
        <v>-9999</v>
      </c>
      <c r="AG157" s="120">
        <v>-9999</v>
      </c>
      <c r="AQ157" s="29">
        <v>6</v>
      </c>
      <c r="AR157" s="29">
        <v>125</v>
      </c>
      <c r="AS157" s="29">
        <v>40</v>
      </c>
      <c r="AT157" s="29" t="e">
        <f>AVERAGEIFS(Compressors!$S:$S,Compressors!$G:$G,AS157,Compressors!$I:$I,AR157,Compressors!$D:$D,AQ157)</f>
        <v>#DIV/0!</v>
      </c>
      <c r="AU157" s="53"/>
      <c r="BB157" s="121">
        <v>60</v>
      </c>
      <c r="BC157" s="121">
        <v>18.799999237060501</v>
      </c>
      <c r="BD157" s="125">
        <v>100</v>
      </c>
      <c r="BE157" s="121"/>
      <c r="BF157" s="121"/>
      <c r="BG157" s="121"/>
      <c r="BH157" s="121"/>
      <c r="BI157" s="121"/>
      <c r="BJ157" s="121"/>
      <c r="BK157" s="121"/>
      <c r="BL157" s="121"/>
      <c r="BM157" s="121"/>
      <c r="BO157" s="130">
        <v>150</v>
      </c>
      <c r="BP157" s="139">
        <v>100</v>
      </c>
      <c r="BQ157" s="143" t="s">
        <v>362</v>
      </c>
    </row>
    <row r="158" spans="1:69" x14ac:dyDescent="0.25">
      <c r="A158" s="120">
        <v>157</v>
      </c>
      <c r="B158" s="120" t="b">
        <v>0</v>
      </c>
      <c r="C158" s="120">
        <v>0</v>
      </c>
      <c r="D158" s="61">
        <v>1</v>
      </c>
      <c r="E158" s="120">
        <v>1</v>
      </c>
      <c r="F158" s="120" t="s">
        <v>171</v>
      </c>
      <c r="G158" s="55">
        <v>30</v>
      </c>
      <c r="H158" s="120">
        <v>77</v>
      </c>
      <c r="I158" s="57">
        <v>200</v>
      </c>
      <c r="J158" s="120">
        <v>200</v>
      </c>
      <c r="K158" s="120">
        <v>2</v>
      </c>
      <c r="L158" s="120">
        <v>50</v>
      </c>
      <c r="M158" s="120">
        <v>15</v>
      </c>
      <c r="N158" s="120">
        <v>40</v>
      </c>
      <c r="O158" s="120">
        <v>2</v>
      </c>
      <c r="P158" s="120">
        <v>20</v>
      </c>
      <c r="Q158" s="120">
        <v>33</v>
      </c>
      <c r="R158" s="120">
        <v>27.100000381469702</v>
      </c>
      <c r="S158" s="148">
        <v>35</v>
      </c>
      <c r="T158" s="120">
        <v>65</v>
      </c>
      <c r="U158" s="120">
        <v>18</v>
      </c>
      <c r="V158" s="120">
        <v>-9999</v>
      </c>
      <c r="W158" s="120">
        <v>-9999</v>
      </c>
      <c r="X158" s="120">
        <v>-9999</v>
      </c>
      <c r="Y158" s="120">
        <v>-9999</v>
      </c>
      <c r="Z158" s="120">
        <v>-9999</v>
      </c>
      <c r="AA158" s="120">
        <v>68</v>
      </c>
      <c r="AB158" s="120">
        <v>14.5</v>
      </c>
      <c r="AC158" s="120">
        <v>157</v>
      </c>
      <c r="AD158" s="120">
        <v>1429</v>
      </c>
      <c r="AE158" s="120">
        <v>-9999</v>
      </c>
      <c r="AF158" s="120">
        <v>-9999</v>
      </c>
      <c r="AG158" s="120">
        <v>-9999</v>
      </c>
      <c r="AQ158" s="55">
        <v>1</v>
      </c>
      <c r="AR158" s="55">
        <v>100</v>
      </c>
      <c r="AS158" s="55">
        <v>50</v>
      </c>
      <c r="AT158" s="55">
        <f>AVERAGEIFS(Compressors!$S:$S,Compressors!$G:$G,AS158,Compressors!$I:$I,AR158,Compressors!$D:$D,AQ158)</f>
        <v>18.899999618530298</v>
      </c>
      <c r="AU158" s="55">
        <v>18.899999999999999</v>
      </c>
      <c r="BB158" s="121">
        <v>60</v>
      </c>
      <c r="BC158" s="121">
        <v>19.399999618530298</v>
      </c>
      <c r="BD158" s="125">
        <v>115</v>
      </c>
      <c r="BE158" s="121"/>
      <c r="BF158" s="121"/>
      <c r="BG158" s="121"/>
      <c r="BH158" s="121"/>
      <c r="BI158" s="121"/>
      <c r="BJ158" s="121"/>
      <c r="BK158" s="121"/>
      <c r="BL158" s="121"/>
      <c r="BM158" s="121"/>
      <c r="BO158" s="131">
        <v>150</v>
      </c>
      <c r="BP158" s="139">
        <v>100</v>
      </c>
      <c r="BQ158" s="143" t="s">
        <v>363</v>
      </c>
    </row>
    <row r="159" spans="1:69" x14ac:dyDescent="0.25">
      <c r="A159" s="120">
        <v>158</v>
      </c>
      <c r="B159" s="120" t="b">
        <v>0</v>
      </c>
      <c r="C159" s="120">
        <v>0</v>
      </c>
      <c r="D159" s="61">
        <v>1</v>
      </c>
      <c r="E159" s="120">
        <v>1</v>
      </c>
      <c r="F159" s="120" t="s">
        <v>171</v>
      </c>
      <c r="G159" s="55">
        <v>30</v>
      </c>
      <c r="H159" s="120">
        <v>77</v>
      </c>
      <c r="I159" s="57">
        <v>200</v>
      </c>
      <c r="J159" s="120">
        <v>200</v>
      </c>
      <c r="K159" s="120">
        <v>3</v>
      </c>
      <c r="L159" s="120">
        <v>40</v>
      </c>
      <c r="M159" s="120">
        <v>15</v>
      </c>
      <c r="N159" s="120">
        <v>40</v>
      </c>
      <c r="O159" s="120">
        <v>2</v>
      </c>
      <c r="P159" s="120">
        <v>16.666999816894499</v>
      </c>
      <c r="Q159" s="120">
        <v>33</v>
      </c>
      <c r="R159" s="120">
        <v>27.100000381469702</v>
      </c>
      <c r="S159" s="148">
        <v>35</v>
      </c>
      <c r="T159" s="120">
        <v>57</v>
      </c>
      <c r="U159" s="120">
        <v>18</v>
      </c>
      <c r="V159" s="120">
        <v>-9999</v>
      </c>
      <c r="W159" s="120">
        <v>-9999</v>
      </c>
      <c r="X159" s="120">
        <v>-9999</v>
      </c>
      <c r="Y159" s="120">
        <v>-9999</v>
      </c>
      <c r="Z159" s="120">
        <v>-9999</v>
      </c>
      <c r="AA159" s="120">
        <v>68</v>
      </c>
      <c r="AB159" s="120">
        <v>14.5</v>
      </c>
      <c r="AC159" s="120">
        <v>158</v>
      </c>
      <c r="AD159" s="120">
        <v>1430</v>
      </c>
      <c r="AE159" s="120">
        <v>-9999</v>
      </c>
      <c r="AF159" s="120">
        <v>-9999</v>
      </c>
      <c r="AG159" s="120">
        <v>-9999</v>
      </c>
      <c r="AQ159" s="55">
        <v>1</v>
      </c>
      <c r="AR159" s="55">
        <v>110</v>
      </c>
      <c r="AS159" s="55">
        <v>50</v>
      </c>
      <c r="AT159" s="55">
        <f>AVERAGEIFS(Compressors!$S:$S,Compressors!$G:$G,AS159,Compressors!$I:$I,AR159,Compressors!$D:$D,AQ159)</f>
        <v>18.600000381469702</v>
      </c>
      <c r="AU159" s="55">
        <v>18.600000000000001</v>
      </c>
      <c r="BB159" s="121">
        <v>60</v>
      </c>
      <c r="BC159" s="121">
        <v>19.399999618530298</v>
      </c>
      <c r="BD159" s="125">
        <v>115</v>
      </c>
      <c r="BE159" s="121"/>
      <c r="BF159" s="121"/>
      <c r="BG159" s="121"/>
      <c r="BH159" s="121"/>
      <c r="BI159" s="121"/>
      <c r="BJ159" s="121"/>
      <c r="BK159" s="121"/>
      <c r="BL159" s="121"/>
      <c r="BM159" s="121"/>
      <c r="BO159" s="130">
        <v>150</v>
      </c>
      <c r="BP159" s="139">
        <v>110</v>
      </c>
      <c r="BQ159" s="142" t="s">
        <v>108</v>
      </c>
    </row>
    <row r="160" spans="1:69" x14ac:dyDescent="0.25">
      <c r="A160" s="120">
        <v>159</v>
      </c>
      <c r="B160" s="120" t="b">
        <v>0</v>
      </c>
      <c r="C160" s="120">
        <v>0</v>
      </c>
      <c r="D160" s="61">
        <v>1</v>
      </c>
      <c r="E160" s="120">
        <v>1</v>
      </c>
      <c r="F160" s="120" t="s">
        <v>171</v>
      </c>
      <c r="G160" s="55">
        <v>30</v>
      </c>
      <c r="H160" s="120">
        <v>74</v>
      </c>
      <c r="I160" s="57">
        <v>200</v>
      </c>
      <c r="J160" s="120">
        <v>210</v>
      </c>
      <c r="K160" s="120">
        <v>4</v>
      </c>
      <c r="L160" s="120">
        <v>100</v>
      </c>
      <c r="M160" s="120">
        <v>15</v>
      </c>
      <c r="N160" s="120">
        <v>40</v>
      </c>
      <c r="O160" s="120">
        <v>2</v>
      </c>
      <c r="P160" s="120">
        <v>-9999</v>
      </c>
      <c r="Q160" s="120">
        <v>31.5</v>
      </c>
      <c r="R160" s="120">
        <v>25.799999237060501</v>
      </c>
      <c r="S160" s="148">
        <v>35</v>
      </c>
      <c r="T160" s="120">
        <v>-9999</v>
      </c>
      <c r="U160" s="120">
        <v>18</v>
      </c>
      <c r="V160" s="120">
        <v>-9999</v>
      </c>
      <c r="W160" s="120">
        <v>-9999</v>
      </c>
      <c r="X160" s="120">
        <v>-9999</v>
      </c>
      <c r="Y160" s="120">
        <v>-9999</v>
      </c>
      <c r="Z160" s="120">
        <v>-9999</v>
      </c>
      <c r="AA160" s="120">
        <v>68</v>
      </c>
      <c r="AB160" s="120">
        <v>14.5</v>
      </c>
      <c r="AC160" s="120">
        <v>159</v>
      </c>
      <c r="AD160" s="120">
        <v>1431</v>
      </c>
      <c r="AE160" s="120">
        <v>-9999</v>
      </c>
      <c r="AF160" s="120">
        <v>-9999</v>
      </c>
      <c r="AG160" s="120">
        <v>-9999</v>
      </c>
      <c r="AQ160" s="55">
        <v>1</v>
      </c>
      <c r="AR160" s="55">
        <v>115</v>
      </c>
      <c r="AS160" s="55">
        <v>50</v>
      </c>
      <c r="AT160" s="55">
        <f>AVERAGEIFS(Compressors!$S:$S,Compressors!$G:$G,AS160,Compressors!$I:$I,AR160,Compressors!$D:$D,AQ160)</f>
        <v>20.799999237060501</v>
      </c>
      <c r="AU160" s="55">
        <v>20.8</v>
      </c>
      <c r="BB160" s="121">
        <v>60</v>
      </c>
      <c r="BC160" s="121">
        <v>19.399999618530298</v>
      </c>
      <c r="BD160" s="125">
        <v>115</v>
      </c>
      <c r="BE160" s="121"/>
      <c r="BF160" s="121"/>
      <c r="BG160" s="121"/>
      <c r="BH160" s="121"/>
      <c r="BI160" s="121"/>
      <c r="BJ160" s="121"/>
      <c r="BK160" s="121"/>
      <c r="BL160" s="121"/>
      <c r="BM160" s="121"/>
      <c r="BO160" s="130">
        <v>150</v>
      </c>
      <c r="BP160" s="139">
        <v>110</v>
      </c>
      <c r="BQ160" s="143" t="s">
        <v>491</v>
      </c>
    </row>
    <row r="161" spans="1:69" x14ac:dyDescent="0.25">
      <c r="A161" s="120">
        <v>160</v>
      </c>
      <c r="B161" s="120" t="b">
        <v>0</v>
      </c>
      <c r="C161" s="120">
        <v>0</v>
      </c>
      <c r="D161" s="61">
        <v>1</v>
      </c>
      <c r="E161" s="120">
        <v>1</v>
      </c>
      <c r="F161" s="120" t="s">
        <v>171</v>
      </c>
      <c r="G161" s="55">
        <v>30</v>
      </c>
      <c r="H161" s="120">
        <v>74</v>
      </c>
      <c r="I161" s="57">
        <v>200</v>
      </c>
      <c r="J161" s="120">
        <v>210</v>
      </c>
      <c r="K161" s="120">
        <v>11</v>
      </c>
      <c r="L161" s="120">
        <v>60</v>
      </c>
      <c r="M161" s="120">
        <v>15</v>
      </c>
      <c r="N161" s="120">
        <v>40</v>
      </c>
      <c r="O161" s="120">
        <v>2</v>
      </c>
      <c r="P161" s="120">
        <v>25</v>
      </c>
      <c r="Q161" s="120">
        <v>31.5</v>
      </c>
      <c r="R161" s="120">
        <v>25.799999237060501</v>
      </c>
      <c r="S161" s="148">
        <v>35</v>
      </c>
      <c r="T161" s="120">
        <v>70</v>
      </c>
      <c r="U161" s="120">
        <v>18</v>
      </c>
      <c r="V161" s="120">
        <v>-9999</v>
      </c>
      <c r="W161" s="120">
        <v>-9999</v>
      </c>
      <c r="X161" s="120">
        <v>-9999</v>
      </c>
      <c r="Y161" s="120">
        <v>-9999</v>
      </c>
      <c r="Z161" s="120">
        <v>-9999</v>
      </c>
      <c r="AA161" s="120">
        <v>68</v>
      </c>
      <c r="AB161" s="120">
        <v>14.5</v>
      </c>
      <c r="AC161" s="120">
        <v>160</v>
      </c>
      <c r="AD161" s="120">
        <v>1432</v>
      </c>
      <c r="AE161" s="120">
        <v>-9999</v>
      </c>
      <c r="AF161" s="120">
        <v>-9999</v>
      </c>
      <c r="AG161" s="120">
        <v>-9999</v>
      </c>
      <c r="AQ161" s="55">
        <v>1</v>
      </c>
      <c r="AR161" s="55">
        <v>125</v>
      </c>
      <c r="AS161" s="55">
        <v>50</v>
      </c>
      <c r="AT161" s="55">
        <f>AVERAGEIFS(Compressors!$S:$S,Compressors!$G:$G,AS161,Compressors!$I:$I,AR161,Compressors!$D:$D,AQ161)</f>
        <v>21.600000381469702</v>
      </c>
      <c r="AU161" s="55">
        <v>21.6</v>
      </c>
      <c r="BB161" s="121">
        <v>60</v>
      </c>
      <c r="BC161" s="121">
        <v>19.399999618530298</v>
      </c>
      <c r="BD161" s="125">
        <v>115</v>
      </c>
      <c r="BE161" s="121"/>
      <c r="BF161" s="121"/>
      <c r="BG161" s="121"/>
      <c r="BH161" s="121"/>
      <c r="BI161" s="121"/>
      <c r="BJ161" s="121"/>
      <c r="BK161" s="121"/>
      <c r="BL161" s="121"/>
      <c r="BM161" s="121"/>
      <c r="BO161" s="131">
        <v>150</v>
      </c>
      <c r="BP161" s="139">
        <v>110</v>
      </c>
      <c r="BQ161" s="143" t="s">
        <v>363</v>
      </c>
    </row>
    <row r="162" spans="1:69" x14ac:dyDescent="0.25">
      <c r="A162" s="120">
        <v>161</v>
      </c>
      <c r="B162" s="120" t="b">
        <v>0</v>
      </c>
      <c r="C162" s="120">
        <v>0</v>
      </c>
      <c r="D162" s="61">
        <v>1</v>
      </c>
      <c r="E162" s="120">
        <v>1</v>
      </c>
      <c r="F162" s="120" t="s">
        <v>172</v>
      </c>
      <c r="G162" s="55">
        <v>40</v>
      </c>
      <c r="H162" s="120">
        <v>178</v>
      </c>
      <c r="I162" s="57">
        <v>100</v>
      </c>
      <c r="J162" s="120">
        <v>110</v>
      </c>
      <c r="K162" s="120">
        <v>1</v>
      </c>
      <c r="L162" s="120">
        <v>50</v>
      </c>
      <c r="M162" s="120">
        <v>15</v>
      </c>
      <c r="N162" s="120">
        <v>40</v>
      </c>
      <c r="O162" s="120">
        <v>2</v>
      </c>
      <c r="P162" s="120">
        <v>5</v>
      </c>
      <c r="Q162" s="120">
        <v>42</v>
      </c>
      <c r="R162" s="120">
        <v>34.700000762939503</v>
      </c>
      <c r="S162" s="148">
        <v>19.5</v>
      </c>
      <c r="T162" s="120">
        <v>65</v>
      </c>
      <c r="U162" s="120">
        <v>20</v>
      </c>
      <c r="V162" s="120">
        <v>-9999</v>
      </c>
      <c r="W162" s="120">
        <v>-9999</v>
      </c>
      <c r="X162" s="120">
        <v>-9999</v>
      </c>
      <c r="Y162" s="120">
        <v>-9999</v>
      </c>
      <c r="Z162" s="120">
        <v>-9999</v>
      </c>
      <c r="AA162" s="120">
        <v>68</v>
      </c>
      <c r="AB162" s="120">
        <v>14.5</v>
      </c>
      <c r="AC162" s="120">
        <v>161</v>
      </c>
      <c r="AD162" s="120">
        <v>1433</v>
      </c>
      <c r="AE162" s="120">
        <v>-9999</v>
      </c>
      <c r="AF162" s="120">
        <v>-9999</v>
      </c>
      <c r="AG162" s="120">
        <v>-9999</v>
      </c>
      <c r="AQ162" s="55">
        <v>2</v>
      </c>
      <c r="AR162" s="55">
        <v>100</v>
      </c>
      <c r="AS162" s="55">
        <v>50</v>
      </c>
      <c r="AT162" s="55" t="e">
        <f>AVERAGEIFS(Compressors!$S:$S,Compressors!$G:$G,AS162,Compressors!$I:$I,AR162,Compressors!$D:$D,AQ162)</f>
        <v>#DIV/0!</v>
      </c>
      <c r="AU162" s="65">
        <f>AU158*0.9</f>
        <v>17.009999999999998</v>
      </c>
      <c r="BB162" s="121">
        <v>60</v>
      </c>
      <c r="BC162" s="121">
        <v>19.399999618530298</v>
      </c>
      <c r="BD162" s="125">
        <v>115</v>
      </c>
      <c r="BE162" s="121"/>
      <c r="BF162" s="121"/>
      <c r="BG162" s="121"/>
      <c r="BH162" s="121"/>
      <c r="BI162" s="121"/>
      <c r="BJ162" s="121"/>
      <c r="BK162" s="121"/>
      <c r="BL162" s="121"/>
      <c r="BM162" s="121"/>
      <c r="BO162" s="130">
        <v>150</v>
      </c>
      <c r="BP162" s="139">
        <v>115</v>
      </c>
      <c r="BQ162" s="142" t="s">
        <v>108</v>
      </c>
    </row>
    <row r="163" spans="1:69" x14ac:dyDescent="0.25">
      <c r="A163" s="120">
        <v>162</v>
      </c>
      <c r="B163" s="120" t="b">
        <v>0</v>
      </c>
      <c r="C163" s="120">
        <v>0</v>
      </c>
      <c r="D163" s="61">
        <v>1</v>
      </c>
      <c r="E163" s="120">
        <v>1</v>
      </c>
      <c r="F163" s="120" t="s">
        <v>172</v>
      </c>
      <c r="G163" s="55">
        <v>40</v>
      </c>
      <c r="H163" s="120">
        <v>187</v>
      </c>
      <c r="I163" s="57">
        <v>100</v>
      </c>
      <c r="J163" s="120">
        <v>100</v>
      </c>
      <c r="K163" s="120">
        <v>2</v>
      </c>
      <c r="L163" s="120">
        <v>50</v>
      </c>
      <c r="M163" s="120">
        <v>15</v>
      </c>
      <c r="N163" s="120">
        <v>40</v>
      </c>
      <c r="O163" s="120">
        <v>2</v>
      </c>
      <c r="P163" s="120">
        <v>20</v>
      </c>
      <c r="Q163" s="120">
        <v>44</v>
      </c>
      <c r="R163" s="120">
        <v>36.400001525878899</v>
      </c>
      <c r="S163" s="148">
        <v>19.5</v>
      </c>
      <c r="T163" s="120">
        <v>65</v>
      </c>
      <c r="U163" s="120">
        <v>20</v>
      </c>
      <c r="V163" s="120">
        <v>-9999</v>
      </c>
      <c r="W163" s="120">
        <v>-9999</v>
      </c>
      <c r="X163" s="120">
        <v>-9999</v>
      </c>
      <c r="Y163" s="120">
        <v>-9999</v>
      </c>
      <c r="Z163" s="120">
        <v>-9999</v>
      </c>
      <c r="AA163" s="120">
        <v>68</v>
      </c>
      <c r="AB163" s="120">
        <v>14.5</v>
      </c>
      <c r="AC163" s="120">
        <v>162</v>
      </c>
      <c r="AD163" s="120">
        <v>1434</v>
      </c>
      <c r="AE163" s="120">
        <v>-9999</v>
      </c>
      <c r="AF163" s="120">
        <v>-9999</v>
      </c>
      <c r="AG163" s="120">
        <v>-9999</v>
      </c>
      <c r="AQ163" s="55">
        <v>2</v>
      </c>
      <c r="AR163" s="55">
        <v>110</v>
      </c>
      <c r="AS163" s="55">
        <v>50</v>
      </c>
      <c r="AT163" s="55" t="e">
        <f>AVERAGEIFS(Compressors!$S:$S,Compressors!$G:$G,AS163,Compressors!$I:$I,AR163,Compressors!$D:$D,AQ163)</f>
        <v>#DIV/0!</v>
      </c>
      <c r="AU163" s="65">
        <f>AU159*0.9</f>
        <v>16.740000000000002</v>
      </c>
      <c r="BB163" s="121">
        <v>60</v>
      </c>
      <c r="BC163" s="121">
        <v>20.5</v>
      </c>
      <c r="BD163" s="125">
        <v>125</v>
      </c>
      <c r="BE163" s="121"/>
      <c r="BF163" s="121"/>
      <c r="BG163" s="121"/>
      <c r="BH163" s="121"/>
      <c r="BI163" s="121"/>
      <c r="BJ163" s="121"/>
      <c r="BK163" s="121"/>
      <c r="BL163" s="121"/>
      <c r="BM163" s="121"/>
      <c r="BO163" s="130">
        <v>150</v>
      </c>
      <c r="BP163" s="139">
        <v>115</v>
      </c>
      <c r="BQ163" s="143" t="s">
        <v>491</v>
      </c>
    </row>
    <row r="164" spans="1:69" x14ac:dyDescent="0.25">
      <c r="A164" s="120">
        <v>163</v>
      </c>
      <c r="B164" s="120" t="b">
        <v>0</v>
      </c>
      <c r="C164" s="120">
        <v>0</v>
      </c>
      <c r="D164" s="61">
        <v>1</v>
      </c>
      <c r="E164" s="120">
        <v>1</v>
      </c>
      <c r="F164" s="120" t="s">
        <v>172</v>
      </c>
      <c r="G164" s="55">
        <v>40</v>
      </c>
      <c r="H164" s="120">
        <v>187</v>
      </c>
      <c r="I164" s="57">
        <v>100</v>
      </c>
      <c r="J164" s="120">
        <v>100</v>
      </c>
      <c r="K164" s="120">
        <v>3</v>
      </c>
      <c r="L164" s="120">
        <v>40</v>
      </c>
      <c r="M164" s="120">
        <v>15</v>
      </c>
      <c r="N164" s="120">
        <v>40</v>
      </c>
      <c r="O164" s="120">
        <v>2</v>
      </c>
      <c r="P164" s="120">
        <v>16.666999816894499</v>
      </c>
      <c r="Q164" s="120">
        <v>44</v>
      </c>
      <c r="R164" s="120">
        <v>36.400001525878899</v>
      </c>
      <c r="S164" s="148">
        <v>19.5</v>
      </c>
      <c r="T164" s="120">
        <v>57</v>
      </c>
      <c r="U164" s="120">
        <v>20</v>
      </c>
      <c r="V164" s="120">
        <v>-9999</v>
      </c>
      <c r="W164" s="120">
        <v>-9999</v>
      </c>
      <c r="X164" s="120">
        <v>-9999</v>
      </c>
      <c r="Y164" s="120">
        <v>-9999</v>
      </c>
      <c r="Z164" s="120">
        <v>-9999</v>
      </c>
      <c r="AA164" s="120">
        <v>68</v>
      </c>
      <c r="AB164" s="120">
        <v>14.5</v>
      </c>
      <c r="AC164" s="120">
        <v>163</v>
      </c>
      <c r="AD164" s="120">
        <v>1435</v>
      </c>
      <c r="AE164" s="120">
        <v>-9999</v>
      </c>
      <c r="AF164" s="120">
        <v>-9999</v>
      </c>
      <c r="AG164" s="120">
        <v>-9999</v>
      </c>
      <c r="AQ164" s="55">
        <v>2</v>
      </c>
      <c r="AR164" s="55">
        <v>115</v>
      </c>
      <c r="AS164" s="55">
        <v>50</v>
      </c>
      <c r="AT164" s="55" t="e">
        <f>AVERAGEIFS(Compressors!$S:$S,Compressors!$G:$G,AS164,Compressors!$I:$I,AR164,Compressors!$D:$D,AQ164)</f>
        <v>#DIV/0!</v>
      </c>
      <c r="AU164" s="65">
        <f>AU160*0.9</f>
        <v>18.720000000000002</v>
      </c>
      <c r="BB164" s="121">
        <v>60</v>
      </c>
      <c r="BC164" s="121">
        <v>20.5</v>
      </c>
      <c r="BD164" s="125">
        <v>125</v>
      </c>
      <c r="BE164" s="121"/>
      <c r="BF164" s="121"/>
      <c r="BG164" s="121"/>
      <c r="BH164" s="121"/>
      <c r="BI164" s="121"/>
      <c r="BJ164" s="121"/>
      <c r="BK164" s="121"/>
      <c r="BL164" s="121"/>
      <c r="BM164" s="121"/>
      <c r="BO164" s="131">
        <v>150</v>
      </c>
      <c r="BP164" s="139">
        <v>115</v>
      </c>
      <c r="BQ164" s="143" t="s">
        <v>362</v>
      </c>
    </row>
    <row r="165" spans="1:69" x14ac:dyDescent="0.25">
      <c r="A165" s="120">
        <v>164</v>
      </c>
      <c r="B165" s="120" t="b">
        <v>0</v>
      </c>
      <c r="C165" s="120">
        <v>0</v>
      </c>
      <c r="D165" s="61">
        <v>1</v>
      </c>
      <c r="E165" s="120">
        <v>1</v>
      </c>
      <c r="F165" s="120" t="s">
        <v>172</v>
      </c>
      <c r="G165" s="55">
        <v>40</v>
      </c>
      <c r="H165" s="120">
        <v>178</v>
      </c>
      <c r="I165" s="57">
        <v>100</v>
      </c>
      <c r="J165" s="120">
        <v>110</v>
      </c>
      <c r="K165" s="120">
        <v>4</v>
      </c>
      <c r="L165" s="120">
        <v>100</v>
      </c>
      <c r="M165" s="120">
        <v>15</v>
      </c>
      <c r="N165" s="120">
        <v>40</v>
      </c>
      <c r="O165" s="120">
        <v>2</v>
      </c>
      <c r="P165" s="120">
        <v>-9999</v>
      </c>
      <c r="Q165" s="120">
        <v>42</v>
      </c>
      <c r="R165" s="120">
        <v>34.700000762939503</v>
      </c>
      <c r="S165" s="148">
        <v>19.5</v>
      </c>
      <c r="T165" s="120">
        <v>-9999</v>
      </c>
      <c r="U165" s="120">
        <v>20</v>
      </c>
      <c r="V165" s="120">
        <v>-9999</v>
      </c>
      <c r="W165" s="120">
        <v>-9999</v>
      </c>
      <c r="X165" s="120">
        <v>-9999</v>
      </c>
      <c r="Y165" s="120">
        <v>-9999</v>
      </c>
      <c r="Z165" s="120">
        <v>-9999</v>
      </c>
      <c r="AA165" s="120">
        <v>68</v>
      </c>
      <c r="AB165" s="120">
        <v>14.5</v>
      </c>
      <c r="AC165" s="120">
        <v>164</v>
      </c>
      <c r="AD165" s="120">
        <v>1436</v>
      </c>
      <c r="AE165" s="120">
        <v>-9999</v>
      </c>
      <c r="AF165" s="120">
        <v>-9999</v>
      </c>
      <c r="AG165" s="120">
        <v>-9999</v>
      </c>
      <c r="AQ165" s="55">
        <v>2</v>
      </c>
      <c r="AR165" s="55">
        <v>125</v>
      </c>
      <c r="AS165" s="55">
        <v>50</v>
      </c>
      <c r="AT165" s="55" t="e">
        <f>AVERAGEIFS(Compressors!$S:$S,Compressors!$G:$G,AS165,Compressors!$I:$I,AR165,Compressors!$D:$D,AQ165)</f>
        <v>#DIV/0!</v>
      </c>
      <c r="AU165" s="65">
        <f>AU161*0.9</f>
        <v>19.440000000000001</v>
      </c>
      <c r="BB165" s="121">
        <v>60</v>
      </c>
      <c r="BC165" s="121">
        <v>20.5</v>
      </c>
      <c r="BD165" s="125">
        <v>125</v>
      </c>
      <c r="BE165" s="121"/>
      <c r="BF165" s="121"/>
      <c r="BG165" s="121"/>
      <c r="BH165" s="121"/>
      <c r="BI165" s="121"/>
      <c r="BJ165" s="121"/>
      <c r="BK165" s="121"/>
      <c r="BL165" s="121"/>
      <c r="BM165" s="121"/>
      <c r="BO165" s="130">
        <v>150</v>
      </c>
      <c r="BP165" s="139">
        <v>115</v>
      </c>
      <c r="BQ165" s="143" t="s">
        <v>363</v>
      </c>
    </row>
    <row r="166" spans="1:69" x14ac:dyDescent="0.25">
      <c r="A166" s="120">
        <v>165</v>
      </c>
      <c r="B166" s="120" t="b">
        <v>0</v>
      </c>
      <c r="C166" s="120">
        <v>0</v>
      </c>
      <c r="D166" s="61">
        <v>1</v>
      </c>
      <c r="E166" s="120">
        <v>1</v>
      </c>
      <c r="F166" s="120" t="s">
        <v>172</v>
      </c>
      <c r="G166" s="55">
        <v>40</v>
      </c>
      <c r="H166" s="120">
        <v>178</v>
      </c>
      <c r="I166" s="57">
        <v>100</v>
      </c>
      <c r="J166" s="120">
        <v>110</v>
      </c>
      <c r="K166" s="120">
        <v>11</v>
      </c>
      <c r="L166" s="120">
        <v>60</v>
      </c>
      <c r="M166" s="120">
        <v>15</v>
      </c>
      <c r="N166" s="120">
        <v>40</v>
      </c>
      <c r="O166" s="120">
        <v>2</v>
      </c>
      <c r="P166" s="120">
        <v>25</v>
      </c>
      <c r="Q166" s="120">
        <v>42</v>
      </c>
      <c r="R166" s="120">
        <v>34.700000762939503</v>
      </c>
      <c r="S166" s="148">
        <v>19.5</v>
      </c>
      <c r="T166" s="120">
        <v>70</v>
      </c>
      <c r="U166" s="120">
        <v>20</v>
      </c>
      <c r="V166" s="120">
        <v>-9999</v>
      </c>
      <c r="W166" s="120">
        <v>-9999</v>
      </c>
      <c r="X166" s="120">
        <v>-9999</v>
      </c>
      <c r="Y166" s="120">
        <v>-9999</v>
      </c>
      <c r="Z166" s="120">
        <v>-9999</v>
      </c>
      <c r="AA166" s="120">
        <v>68</v>
      </c>
      <c r="AB166" s="120">
        <v>14.5</v>
      </c>
      <c r="AC166" s="120">
        <v>165</v>
      </c>
      <c r="AD166" s="120">
        <v>1437</v>
      </c>
      <c r="AE166" s="120">
        <v>-9999</v>
      </c>
      <c r="AF166" s="120">
        <v>-9999</v>
      </c>
      <c r="AG166" s="120">
        <v>-9999</v>
      </c>
      <c r="AQ166" s="55">
        <v>4</v>
      </c>
      <c r="AR166" s="55">
        <v>100</v>
      </c>
      <c r="AS166" s="55">
        <v>50</v>
      </c>
      <c r="AT166" s="55">
        <f>AVERAGEIFS(Compressors!$S:$S,Compressors!$G:$G,AS166,Compressors!$I:$I,AR166,Compressors!$D:$D,AQ166)</f>
        <v>19</v>
      </c>
      <c r="AU166" s="55">
        <v>19</v>
      </c>
      <c r="AV166">
        <f>AU166/AU158</f>
        <v>1.0052910052910053</v>
      </c>
      <c r="BB166" s="121">
        <v>60</v>
      </c>
      <c r="BC166" s="121">
        <v>20.5</v>
      </c>
      <c r="BD166" s="125">
        <v>125</v>
      </c>
      <c r="BE166" s="121"/>
      <c r="BF166" s="121"/>
      <c r="BG166" s="121"/>
      <c r="BH166" s="121"/>
      <c r="BI166" s="121"/>
      <c r="BJ166" s="121"/>
      <c r="BK166" s="121"/>
      <c r="BL166" s="121"/>
      <c r="BM166" s="121"/>
      <c r="BO166" s="130">
        <v>150</v>
      </c>
      <c r="BP166" s="139">
        <v>125</v>
      </c>
      <c r="BQ166" s="142" t="s">
        <v>108</v>
      </c>
    </row>
    <row r="167" spans="1:69" x14ac:dyDescent="0.25">
      <c r="A167" s="120">
        <v>166</v>
      </c>
      <c r="B167" s="120" t="b">
        <v>0</v>
      </c>
      <c r="C167" s="120">
        <v>0</v>
      </c>
      <c r="D167" s="61">
        <v>1</v>
      </c>
      <c r="E167" s="120">
        <v>1</v>
      </c>
      <c r="F167" s="120" t="s">
        <v>172</v>
      </c>
      <c r="G167" s="55">
        <v>40</v>
      </c>
      <c r="H167" s="120">
        <v>166</v>
      </c>
      <c r="I167" s="57">
        <v>115</v>
      </c>
      <c r="J167" s="120">
        <v>125</v>
      </c>
      <c r="K167" s="120">
        <v>1</v>
      </c>
      <c r="L167" s="120">
        <v>50</v>
      </c>
      <c r="M167" s="120">
        <v>15</v>
      </c>
      <c r="N167" s="120">
        <v>40</v>
      </c>
      <c r="O167" s="120">
        <v>2</v>
      </c>
      <c r="P167" s="120">
        <v>5</v>
      </c>
      <c r="Q167" s="120">
        <v>42</v>
      </c>
      <c r="R167" s="120">
        <v>34.700000762939503</v>
      </c>
      <c r="S167" s="148">
        <v>21</v>
      </c>
      <c r="T167" s="120">
        <v>65</v>
      </c>
      <c r="U167" s="120">
        <v>20</v>
      </c>
      <c r="V167" s="120">
        <v>-9999</v>
      </c>
      <c r="W167" s="120">
        <v>-9999</v>
      </c>
      <c r="X167" s="120">
        <v>-9999</v>
      </c>
      <c r="Y167" s="120">
        <v>-9999</v>
      </c>
      <c r="Z167" s="120">
        <v>-9999</v>
      </c>
      <c r="AA167" s="120">
        <v>68</v>
      </c>
      <c r="AB167" s="120">
        <v>14.5</v>
      </c>
      <c r="AC167" s="120">
        <v>166</v>
      </c>
      <c r="AD167" s="120">
        <v>1438</v>
      </c>
      <c r="AE167" s="120">
        <v>-9999</v>
      </c>
      <c r="AF167" s="120">
        <v>-9999</v>
      </c>
      <c r="AG167" s="120">
        <v>-9999</v>
      </c>
      <c r="AQ167" s="55">
        <v>4</v>
      </c>
      <c r="AR167" s="55">
        <v>110</v>
      </c>
      <c r="AS167" s="55">
        <v>50</v>
      </c>
      <c r="AT167" s="55">
        <f>AVERAGEIFS(Compressors!$S:$S,Compressors!$G:$G,AS167,Compressors!$I:$I,AR167,Compressors!$D:$D,AQ167)</f>
        <v>20.299999237060501</v>
      </c>
      <c r="AU167" s="55">
        <v>20.299999237060501</v>
      </c>
      <c r="AV167" s="120">
        <f>AU167/AU159</f>
        <v>1.0913978084441129</v>
      </c>
      <c r="BB167" s="121">
        <v>60</v>
      </c>
      <c r="BC167" s="121">
        <v>20.5</v>
      </c>
      <c r="BD167" s="125">
        <v>125</v>
      </c>
      <c r="BE167" s="121"/>
      <c r="BF167" s="121"/>
      <c r="BG167" s="121"/>
      <c r="BH167" s="121"/>
      <c r="BI167" s="121"/>
      <c r="BJ167" s="121"/>
      <c r="BK167" s="121"/>
      <c r="BL167" s="121"/>
      <c r="BM167" s="121"/>
      <c r="BO167" s="131">
        <v>150</v>
      </c>
      <c r="BP167" s="139">
        <v>125</v>
      </c>
      <c r="BQ167" s="143" t="s">
        <v>491</v>
      </c>
    </row>
    <row r="168" spans="1:69" x14ac:dyDescent="0.25">
      <c r="A168" s="120">
        <v>167</v>
      </c>
      <c r="B168" s="120" t="b">
        <v>0</v>
      </c>
      <c r="C168" s="120">
        <v>0</v>
      </c>
      <c r="D168" s="61">
        <v>1</v>
      </c>
      <c r="E168" s="120">
        <v>1</v>
      </c>
      <c r="F168" s="120" t="s">
        <v>172</v>
      </c>
      <c r="G168" s="55">
        <v>40</v>
      </c>
      <c r="H168" s="120">
        <v>174</v>
      </c>
      <c r="I168" s="57">
        <v>115</v>
      </c>
      <c r="J168" s="120">
        <v>115</v>
      </c>
      <c r="K168" s="120">
        <v>2</v>
      </c>
      <c r="L168" s="120">
        <v>50</v>
      </c>
      <c r="M168" s="120">
        <v>15</v>
      </c>
      <c r="N168" s="120">
        <v>40</v>
      </c>
      <c r="O168" s="120">
        <v>2</v>
      </c>
      <c r="P168" s="120">
        <v>20</v>
      </c>
      <c r="Q168" s="120">
        <v>44</v>
      </c>
      <c r="R168" s="120">
        <v>36.400001525878899</v>
      </c>
      <c r="S168" s="148">
        <v>21</v>
      </c>
      <c r="T168" s="120">
        <v>65</v>
      </c>
      <c r="U168" s="120">
        <v>20</v>
      </c>
      <c r="V168" s="120">
        <v>-9999</v>
      </c>
      <c r="W168" s="120">
        <v>-9999</v>
      </c>
      <c r="X168" s="120">
        <v>-9999</v>
      </c>
      <c r="Y168" s="120">
        <v>-9999</v>
      </c>
      <c r="Z168" s="120">
        <v>-9999</v>
      </c>
      <c r="AA168" s="120">
        <v>68</v>
      </c>
      <c r="AB168" s="120">
        <v>14.5</v>
      </c>
      <c r="AC168" s="120">
        <v>167</v>
      </c>
      <c r="AD168" s="120">
        <v>1439</v>
      </c>
      <c r="AE168" s="120">
        <v>-9999</v>
      </c>
      <c r="AF168" s="120">
        <v>-9999</v>
      </c>
      <c r="AG168" s="120">
        <v>-9999</v>
      </c>
      <c r="AQ168" s="55">
        <v>4</v>
      </c>
      <c r="AR168" s="55">
        <v>115</v>
      </c>
      <c r="AS168" s="55">
        <v>50</v>
      </c>
      <c r="AT168" s="55" t="e">
        <f>AVERAGEIFS(Compressors!$S:$S,Compressors!$G:$G,AS168,Compressors!$I:$I,AR168,Compressors!$D:$D,AQ168)</f>
        <v>#DIV/0!</v>
      </c>
      <c r="AV168" s="120">
        <f>AU168/AU160</f>
        <v>0</v>
      </c>
      <c r="BB168" s="121">
        <v>75</v>
      </c>
      <c r="BC168" s="121">
        <v>17.5</v>
      </c>
      <c r="BD168" s="125">
        <v>100</v>
      </c>
      <c r="BE168" s="121"/>
      <c r="BF168" s="121"/>
      <c r="BG168" s="121"/>
      <c r="BH168" s="121"/>
      <c r="BI168" s="121"/>
      <c r="BJ168" s="121"/>
      <c r="BK168" s="121"/>
      <c r="BL168" s="121"/>
      <c r="BM168" s="121"/>
      <c r="BO168" s="130">
        <v>150</v>
      </c>
      <c r="BP168" s="139">
        <v>125</v>
      </c>
      <c r="BQ168" s="143" t="s">
        <v>362</v>
      </c>
    </row>
    <row r="169" spans="1:69" x14ac:dyDescent="0.25">
      <c r="A169" s="120">
        <v>168</v>
      </c>
      <c r="B169" s="120" t="b">
        <v>0</v>
      </c>
      <c r="C169" s="120">
        <v>0</v>
      </c>
      <c r="D169" s="61">
        <v>1</v>
      </c>
      <c r="E169" s="120">
        <v>1</v>
      </c>
      <c r="F169" s="120" t="s">
        <v>172</v>
      </c>
      <c r="G169" s="55">
        <v>40</v>
      </c>
      <c r="H169" s="120">
        <v>174</v>
      </c>
      <c r="I169" s="57">
        <v>115</v>
      </c>
      <c r="J169" s="120">
        <v>115</v>
      </c>
      <c r="K169" s="120">
        <v>3</v>
      </c>
      <c r="L169" s="120">
        <v>40</v>
      </c>
      <c r="M169" s="120">
        <v>15</v>
      </c>
      <c r="N169" s="120">
        <v>40</v>
      </c>
      <c r="O169" s="120">
        <v>2</v>
      </c>
      <c r="P169" s="120">
        <v>16.666999816894499</v>
      </c>
      <c r="Q169" s="120">
        <v>44</v>
      </c>
      <c r="R169" s="120">
        <v>36.400001525878899</v>
      </c>
      <c r="S169" s="148">
        <v>21</v>
      </c>
      <c r="T169" s="120">
        <v>57</v>
      </c>
      <c r="U169" s="120">
        <v>20</v>
      </c>
      <c r="V169" s="120">
        <v>-9999</v>
      </c>
      <c r="W169" s="120">
        <v>-9999</v>
      </c>
      <c r="X169" s="120">
        <v>-9999</v>
      </c>
      <c r="Y169" s="120">
        <v>-9999</v>
      </c>
      <c r="Z169" s="120">
        <v>-9999</v>
      </c>
      <c r="AA169" s="120">
        <v>68</v>
      </c>
      <c r="AB169" s="120">
        <v>14.5</v>
      </c>
      <c r="AC169" s="120">
        <v>168</v>
      </c>
      <c r="AD169" s="120">
        <v>1440</v>
      </c>
      <c r="AE169" s="120">
        <v>-9999</v>
      </c>
      <c r="AF169" s="120">
        <v>-9999</v>
      </c>
      <c r="AG169" s="120">
        <v>-9999</v>
      </c>
      <c r="AQ169" s="55">
        <v>4</v>
      </c>
      <c r="AR169" s="55">
        <v>125</v>
      </c>
      <c r="AS169" s="55">
        <v>50</v>
      </c>
      <c r="AT169" s="55">
        <f>AVERAGEIFS(Compressors!$S:$S,Compressors!$G:$G,AS169,Compressors!$I:$I,AR169,Compressors!$D:$D,AQ169)</f>
        <v>22</v>
      </c>
      <c r="AU169" s="55">
        <v>22</v>
      </c>
      <c r="AV169" s="120">
        <f>AU169/AU161</f>
        <v>1.0185185185185184</v>
      </c>
      <c r="AW169">
        <f>AVERAGE(AV169,AV167,AV166)</f>
        <v>1.0384024440845456</v>
      </c>
      <c r="AX169" t="s">
        <v>366</v>
      </c>
      <c r="BB169" s="121">
        <v>75</v>
      </c>
      <c r="BC169" s="121">
        <v>17.5</v>
      </c>
      <c r="BD169" s="125">
        <v>100</v>
      </c>
      <c r="BE169" s="121"/>
      <c r="BF169" s="121"/>
      <c r="BG169" s="121"/>
      <c r="BH169" s="121"/>
      <c r="BI169" s="121"/>
      <c r="BJ169" s="121"/>
      <c r="BK169" s="121"/>
      <c r="BL169" s="121"/>
      <c r="BM169" s="121"/>
      <c r="BO169" s="131">
        <v>150</v>
      </c>
      <c r="BP169" s="139">
        <v>125</v>
      </c>
      <c r="BQ169" s="143" t="s">
        <v>363</v>
      </c>
    </row>
    <row r="170" spans="1:69" x14ac:dyDescent="0.25">
      <c r="A170" s="120">
        <v>169</v>
      </c>
      <c r="B170" s="120" t="b">
        <v>0</v>
      </c>
      <c r="C170" s="120">
        <v>0</v>
      </c>
      <c r="D170" s="61">
        <v>1</v>
      </c>
      <c r="E170" s="120">
        <v>1</v>
      </c>
      <c r="F170" s="120" t="s">
        <v>172</v>
      </c>
      <c r="G170" s="55">
        <v>40</v>
      </c>
      <c r="H170" s="120">
        <v>166</v>
      </c>
      <c r="I170" s="57">
        <v>115</v>
      </c>
      <c r="J170" s="120">
        <v>125</v>
      </c>
      <c r="K170" s="120">
        <v>4</v>
      </c>
      <c r="L170" s="120">
        <v>100</v>
      </c>
      <c r="M170" s="120">
        <v>15</v>
      </c>
      <c r="N170" s="120">
        <v>40</v>
      </c>
      <c r="O170" s="120">
        <v>2</v>
      </c>
      <c r="P170" s="120">
        <v>-9999</v>
      </c>
      <c r="Q170" s="120">
        <v>42</v>
      </c>
      <c r="R170" s="120">
        <v>34.700000762939503</v>
      </c>
      <c r="S170" s="148">
        <v>21</v>
      </c>
      <c r="T170" s="120">
        <v>-9999</v>
      </c>
      <c r="U170" s="120">
        <v>20</v>
      </c>
      <c r="V170" s="120">
        <v>-9999</v>
      </c>
      <c r="W170" s="120">
        <v>-9999</v>
      </c>
      <c r="X170" s="120">
        <v>-9999</v>
      </c>
      <c r="Y170" s="120">
        <v>-9999</v>
      </c>
      <c r="Z170" s="120">
        <v>-9999</v>
      </c>
      <c r="AA170" s="120">
        <v>68</v>
      </c>
      <c r="AB170" s="120">
        <v>14.5</v>
      </c>
      <c r="AC170" s="120">
        <v>169</v>
      </c>
      <c r="AD170" s="120">
        <v>1441</v>
      </c>
      <c r="AE170" s="120">
        <v>-9999</v>
      </c>
      <c r="AF170" s="120">
        <v>-9999</v>
      </c>
      <c r="AG170" s="120">
        <v>-9999</v>
      </c>
      <c r="AQ170" s="55">
        <v>5</v>
      </c>
      <c r="AR170" s="55">
        <v>100</v>
      </c>
      <c r="AS170" s="55">
        <v>50</v>
      </c>
      <c r="AT170" s="55">
        <f>AVERAGEIFS(Compressors!$S:$S,Compressors!$G:$G,AS170,Compressors!$I:$I,AR170,Compressors!$D:$D,AQ170)</f>
        <v>16.700000762939499</v>
      </c>
      <c r="AU170" s="55">
        <v>16.700000762939499</v>
      </c>
      <c r="BB170" s="121">
        <v>75</v>
      </c>
      <c r="BC170" s="121">
        <v>17.5</v>
      </c>
      <c r="BD170" s="125">
        <v>100</v>
      </c>
      <c r="BE170" s="121"/>
      <c r="BF170" s="121"/>
      <c r="BG170" s="121"/>
      <c r="BH170" s="121"/>
      <c r="BI170" s="121"/>
      <c r="BJ170" s="121"/>
      <c r="BK170" s="121"/>
      <c r="BL170" s="121"/>
      <c r="BM170" s="121"/>
      <c r="BO170" s="130">
        <v>200</v>
      </c>
      <c r="BP170" s="139">
        <v>100</v>
      </c>
      <c r="BQ170" s="142" t="s">
        <v>108</v>
      </c>
    </row>
    <row r="171" spans="1:69" x14ac:dyDescent="0.25">
      <c r="A171" s="120">
        <v>170</v>
      </c>
      <c r="B171" s="120" t="b">
        <v>0</v>
      </c>
      <c r="C171" s="120">
        <v>0</v>
      </c>
      <c r="D171" s="61">
        <v>1</v>
      </c>
      <c r="E171" s="120">
        <v>1</v>
      </c>
      <c r="F171" s="120" t="s">
        <v>172</v>
      </c>
      <c r="G171" s="55">
        <v>40</v>
      </c>
      <c r="H171" s="120">
        <v>166</v>
      </c>
      <c r="I171" s="57">
        <v>115</v>
      </c>
      <c r="J171" s="120">
        <v>125</v>
      </c>
      <c r="K171" s="120">
        <v>11</v>
      </c>
      <c r="L171" s="120">
        <v>60</v>
      </c>
      <c r="M171" s="120">
        <v>15</v>
      </c>
      <c r="N171" s="120">
        <v>40</v>
      </c>
      <c r="O171" s="120">
        <v>2</v>
      </c>
      <c r="P171" s="120">
        <v>25</v>
      </c>
      <c r="Q171" s="120">
        <v>42</v>
      </c>
      <c r="R171" s="120">
        <v>34.700000762939503</v>
      </c>
      <c r="S171" s="148">
        <v>21</v>
      </c>
      <c r="T171" s="120">
        <v>70</v>
      </c>
      <c r="U171" s="120">
        <v>20</v>
      </c>
      <c r="V171" s="120">
        <v>-9999</v>
      </c>
      <c r="W171" s="120">
        <v>-9999</v>
      </c>
      <c r="X171" s="120">
        <v>-9999</v>
      </c>
      <c r="Y171" s="120">
        <v>-9999</v>
      </c>
      <c r="Z171" s="120">
        <v>-9999</v>
      </c>
      <c r="AA171" s="120">
        <v>68</v>
      </c>
      <c r="AB171" s="120">
        <v>14.5</v>
      </c>
      <c r="AC171" s="120">
        <v>170</v>
      </c>
      <c r="AD171" s="120">
        <v>1442</v>
      </c>
      <c r="AE171" s="120">
        <v>-9999</v>
      </c>
      <c r="AF171" s="120">
        <v>-9999</v>
      </c>
      <c r="AG171" s="120">
        <v>-9999</v>
      </c>
      <c r="AQ171" s="55">
        <v>5</v>
      </c>
      <c r="AR171" s="55">
        <v>110</v>
      </c>
      <c r="AS171" s="55">
        <v>50</v>
      </c>
      <c r="AT171" s="55">
        <f>AVERAGEIFS(Compressors!$S:$S,Compressors!$G:$G,AS171,Compressors!$I:$I,AR171,Compressors!$D:$D,AQ171)</f>
        <v>17.299999237060501</v>
      </c>
      <c r="AU171" s="55">
        <v>17.299999237060501</v>
      </c>
      <c r="BB171" s="121">
        <v>75</v>
      </c>
      <c r="BC171" s="121">
        <v>17.5</v>
      </c>
      <c r="BD171" s="125">
        <v>100</v>
      </c>
      <c r="BE171" s="121"/>
      <c r="BF171" s="121"/>
      <c r="BG171" s="121"/>
      <c r="BH171" s="121"/>
      <c r="BI171" s="121"/>
      <c r="BJ171" s="121"/>
      <c r="BK171" s="121"/>
      <c r="BL171" s="121"/>
      <c r="BM171" s="121"/>
      <c r="BO171" s="130">
        <v>200</v>
      </c>
      <c r="BP171" s="139">
        <v>100</v>
      </c>
      <c r="BQ171" s="143" t="s">
        <v>491</v>
      </c>
    </row>
    <row r="172" spans="1:69" x14ac:dyDescent="0.25">
      <c r="A172" s="120">
        <v>171</v>
      </c>
      <c r="B172" s="120" t="b">
        <v>0</v>
      </c>
      <c r="C172" s="120">
        <v>0</v>
      </c>
      <c r="D172" s="61">
        <v>1</v>
      </c>
      <c r="E172" s="120">
        <v>1</v>
      </c>
      <c r="F172" s="120" t="s">
        <v>172</v>
      </c>
      <c r="G172" s="55">
        <v>40</v>
      </c>
      <c r="H172" s="120">
        <v>151</v>
      </c>
      <c r="I172" s="57">
        <v>125</v>
      </c>
      <c r="J172" s="120">
        <v>135</v>
      </c>
      <c r="K172" s="120">
        <v>1</v>
      </c>
      <c r="L172" s="120">
        <v>50</v>
      </c>
      <c r="M172" s="120">
        <v>15</v>
      </c>
      <c r="N172" s="120">
        <v>40</v>
      </c>
      <c r="O172" s="120">
        <v>2</v>
      </c>
      <c r="P172" s="120">
        <v>5</v>
      </c>
      <c r="Q172" s="120">
        <v>42</v>
      </c>
      <c r="R172" s="120">
        <v>34.700000762939503</v>
      </c>
      <c r="S172" s="148">
        <v>23</v>
      </c>
      <c r="T172" s="120">
        <v>65</v>
      </c>
      <c r="U172" s="120">
        <v>20</v>
      </c>
      <c r="V172" s="120">
        <v>-9999</v>
      </c>
      <c r="W172" s="120">
        <v>-9999</v>
      </c>
      <c r="X172" s="120">
        <v>-9999</v>
      </c>
      <c r="Y172" s="120">
        <v>-9999</v>
      </c>
      <c r="Z172" s="120">
        <v>-9999</v>
      </c>
      <c r="AA172" s="120">
        <v>68</v>
      </c>
      <c r="AB172" s="120">
        <v>14.5</v>
      </c>
      <c r="AC172" s="120">
        <v>171</v>
      </c>
      <c r="AD172" s="120">
        <v>1443</v>
      </c>
      <c r="AE172" s="120">
        <v>-9999</v>
      </c>
      <c r="AF172" s="120">
        <v>-9999</v>
      </c>
      <c r="AG172" s="120">
        <v>-9999</v>
      </c>
      <c r="AQ172" s="55">
        <v>5</v>
      </c>
      <c r="AR172" s="55">
        <v>115</v>
      </c>
      <c r="AS172" s="55">
        <v>50</v>
      </c>
      <c r="AT172" s="55" t="e">
        <f>AVERAGEIFS(Compressors!$S:$S,Compressors!$G:$G,AS172,Compressors!$I:$I,AR172,Compressors!$D:$D,AQ172)</f>
        <v>#DIV/0!</v>
      </c>
      <c r="BB172" s="121">
        <v>75</v>
      </c>
      <c r="BC172" s="121">
        <v>17.5</v>
      </c>
      <c r="BD172" s="125">
        <v>100</v>
      </c>
      <c r="BE172" s="121"/>
      <c r="BI172" s="121"/>
      <c r="BJ172" s="121"/>
      <c r="BK172" s="121"/>
      <c r="BL172" s="121"/>
      <c r="BM172" s="121"/>
      <c r="BO172" s="131">
        <v>200</v>
      </c>
      <c r="BP172" s="139">
        <v>100</v>
      </c>
      <c r="BQ172" s="143" t="s">
        <v>362</v>
      </c>
    </row>
    <row r="173" spans="1:69" x14ac:dyDescent="0.25">
      <c r="A173" s="120">
        <v>172</v>
      </c>
      <c r="B173" s="120" t="b">
        <v>0</v>
      </c>
      <c r="C173" s="120">
        <v>0</v>
      </c>
      <c r="D173" s="61">
        <v>1</v>
      </c>
      <c r="E173" s="120">
        <v>1</v>
      </c>
      <c r="F173" s="120" t="s">
        <v>172</v>
      </c>
      <c r="G173" s="55">
        <v>40</v>
      </c>
      <c r="H173" s="120">
        <v>158</v>
      </c>
      <c r="I173" s="57">
        <v>125</v>
      </c>
      <c r="J173" s="120">
        <v>125</v>
      </c>
      <c r="K173" s="120">
        <v>2</v>
      </c>
      <c r="L173" s="120">
        <v>50</v>
      </c>
      <c r="M173" s="120">
        <v>15</v>
      </c>
      <c r="N173" s="120">
        <v>40</v>
      </c>
      <c r="O173" s="120">
        <v>2</v>
      </c>
      <c r="P173" s="120">
        <v>20</v>
      </c>
      <c r="Q173" s="120">
        <v>44</v>
      </c>
      <c r="R173" s="120">
        <v>36.400001525878899</v>
      </c>
      <c r="S173" s="148">
        <v>23</v>
      </c>
      <c r="T173" s="120">
        <v>65</v>
      </c>
      <c r="U173" s="120">
        <v>20</v>
      </c>
      <c r="V173" s="120">
        <v>-9999</v>
      </c>
      <c r="W173" s="120">
        <v>-9999</v>
      </c>
      <c r="X173" s="120">
        <v>-9999</v>
      </c>
      <c r="Y173" s="120">
        <v>-9999</v>
      </c>
      <c r="Z173" s="120">
        <v>-9999</v>
      </c>
      <c r="AA173" s="120">
        <v>68</v>
      </c>
      <c r="AB173" s="120">
        <v>14.5</v>
      </c>
      <c r="AC173" s="120">
        <v>172</v>
      </c>
      <c r="AD173" s="120">
        <v>1444</v>
      </c>
      <c r="AE173" s="120">
        <v>-9999</v>
      </c>
      <c r="AF173" s="120">
        <v>-9999</v>
      </c>
      <c r="AG173" s="120">
        <v>-9999</v>
      </c>
      <c r="AQ173" s="55">
        <v>5</v>
      </c>
      <c r="AR173" s="55">
        <v>125</v>
      </c>
      <c r="AS173" s="55">
        <v>50</v>
      </c>
      <c r="AT173" s="55">
        <f>AVERAGEIFS(Compressors!$S:$S,Compressors!$G:$G,AS173,Compressors!$I:$I,AR173,Compressors!$D:$D,AQ173)</f>
        <v>18.200000762939499</v>
      </c>
      <c r="AU173" s="55">
        <v>18.200000762939499</v>
      </c>
      <c r="BB173" s="121">
        <v>75</v>
      </c>
      <c r="BC173" s="121">
        <v>18</v>
      </c>
      <c r="BD173" s="125">
        <v>110</v>
      </c>
      <c r="BE173" s="121"/>
      <c r="BI173" s="121"/>
      <c r="BJ173" s="121"/>
      <c r="BK173" s="121"/>
      <c r="BL173" s="121"/>
      <c r="BM173" s="121"/>
      <c r="BO173" s="130">
        <v>200</v>
      </c>
      <c r="BP173" s="139">
        <v>100</v>
      </c>
      <c r="BQ173" s="143" t="s">
        <v>363</v>
      </c>
    </row>
    <row r="174" spans="1:69" x14ac:dyDescent="0.25">
      <c r="A174" s="120">
        <v>173</v>
      </c>
      <c r="B174" s="120" t="b">
        <v>0</v>
      </c>
      <c r="C174" s="120">
        <v>0</v>
      </c>
      <c r="D174" s="61">
        <v>1</v>
      </c>
      <c r="E174" s="120">
        <v>1</v>
      </c>
      <c r="F174" s="120" t="s">
        <v>172</v>
      </c>
      <c r="G174" s="55">
        <v>40</v>
      </c>
      <c r="H174" s="120">
        <v>158</v>
      </c>
      <c r="I174" s="57">
        <v>125</v>
      </c>
      <c r="J174" s="120">
        <v>125</v>
      </c>
      <c r="K174" s="120">
        <v>3</v>
      </c>
      <c r="L174" s="120">
        <v>40</v>
      </c>
      <c r="M174" s="120">
        <v>15</v>
      </c>
      <c r="N174" s="120">
        <v>40</v>
      </c>
      <c r="O174" s="120">
        <v>2</v>
      </c>
      <c r="P174" s="120">
        <v>16.666999816894499</v>
      </c>
      <c r="Q174" s="120">
        <v>44</v>
      </c>
      <c r="R174" s="120">
        <v>36.400001525878899</v>
      </c>
      <c r="S174" s="148">
        <v>23</v>
      </c>
      <c r="T174" s="120">
        <v>57</v>
      </c>
      <c r="U174" s="120">
        <v>20</v>
      </c>
      <c r="V174" s="120">
        <v>-9999</v>
      </c>
      <c r="W174" s="120">
        <v>-9999</v>
      </c>
      <c r="X174" s="120">
        <v>-9999</v>
      </c>
      <c r="Y174" s="120">
        <v>-9999</v>
      </c>
      <c r="Z174" s="120">
        <v>-9999</v>
      </c>
      <c r="AA174" s="120">
        <v>68</v>
      </c>
      <c r="AB174" s="120">
        <v>14.5</v>
      </c>
      <c r="AC174" s="120">
        <v>173</v>
      </c>
      <c r="AD174" s="120">
        <v>1445</v>
      </c>
      <c r="AE174" s="120">
        <v>-9999</v>
      </c>
      <c r="AF174" s="120">
        <v>-9999</v>
      </c>
      <c r="AG174" s="120">
        <v>-9999</v>
      </c>
      <c r="AQ174" s="55">
        <v>6</v>
      </c>
      <c r="AR174" s="55">
        <v>100</v>
      </c>
      <c r="AS174" s="55">
        <v>50</v>
      </c>
      <c r="AT174" s="55" t="e">
        <f>AVERAGEIFS(Compressors!$S:$S,Compressors!$G:$G,AS174,Compressors!$I:$I,AR174,Compressors!$D:$D,AQ174)</f>
        <v>#DIV/0!</v>
      </c>
      <c r="AU174" s="53"/>
      <c r="BB174" s="121">
        <v>75</v>
      </c>
      <c r="BC174" s="121">
        <v>18</v>
      </c>
      <c r="BD174" s="125">
        <v>110</v>
      </c>
      <c r="BE174" s="121"/>
      <c r="BI174" s="121"/>
      <c r="BJ174" s="121"/>
      <c r="BK174" s="121"/>
      <c r="BL174" s="121"/>
      <c r="BM174" s="121"/>
      <c r="BO174" s="132">
        <v>200</v>
      </c>
      <c r="BP174" s="140">
        <v>110</v>
      </c>
      <c r="BQ174" s="142" t="s">
        <v>108</v>
      </c>
    </row>
    <row r="175" spans="1:69" x14ac:dyDescent="0.25">
      <c r="A175" s="120">
        <v>174</v>
      </c>
      <c r="B175" s="120" t="b">
        <v>0</v>
      </c>
      <c r="C175" s="120">
        <v>0</v>
      </c>
      <c r="D175" s="61">
        <v>1</v>
      </c>
      <c r="E175" s="120">
        <v>1</v>
      </c>
      <c r="F175" s="120" t="s">
        <v>172</v>
      </c>
      <c r="G175" s="55">
        <v>40</v>
      </c>
      <c r="H175" s="120">
        <v>151</v>
      </c>
      <c r="I175" s="57">
        <v>125</v>
      </c>
      <c r="J175" s="120">
        <v>135</v>
      </c>
      <c r="K175" s="120">
        <v>4</v>
      </c>
      <c r="L175" s="120">
        <v>100</v>
      </c>
      <c r="M175" s="120">
        <v>15</v>
      </c>
      <c r="N175" s="120">
        <v>40</v>
      </c>
      <c r="O175" s="120">
        <v>2</v>
      </c>
      <c r="P175" s="120">
        <v>-9999</v>
      </c>
      <c r="Q175" s="120">
        <v>42</v>
      </c>
      <c r="R175" s="120">
        <v>34.700000762939503</v>
      </c>
      <c r="S175" s="148">
        <v>23</v>
      </c>
      <c r="T175" s="120">
        <v>-9999</v>
      </c>
      <c r="U175" s="120">
        <v>20</v>
      </c>
      <c r="V175" s="120">
        <v>-9999</v>
      </c>
      <c r="W175" s="120">
        <v>-9999</v>
      </c>
      <c r="X175" s="120">
        <v>-9999</v>
      </c>
      <c r="Y175" s="120">
        <v>-9999</v>
      </c>
      <c r="Z175" s="120">
        <v>-9999</v>
      </c>
      <c r="AA175" s="120">
        <v>68</v>
      </c>
      <c r="AB175" s="120">
        <v>14.5</v>
      </c>
      <c r="AC175" s="120">
        <v>174</v>
      </c>
      <c r="AD175" s="120">
        <v>1446</v>
      </c>
      <c r="AE175" s="120">
        <v>-9999</v>
      </c>
      <c r="AF175" s="120">
        <v>-9999</v>
      </c>
      <c r="AG175" s="120">
        <v>-9999</v>
      </c>
      <c r="AQ175" s="55">
        <v>6</v>
      </c>
      <c r="AR175" s="55">
        <v>110</v>
      </c>
      <c r="AS175" s="55">
        <v>50</v>
      </c>
      <c r="AT175" s="55" t="e">
        <f>AVERAGEIFS(Compressors!$S:$S,Compressors!$G:$G,AS175,Compressors!$I:$I,AR175,Compressors!$D:$D,AQ175)</f>
        <v>#DIV/0!</v>
      </c>
      <c r="AU175" s="53"/>
      <c r="BB175" s="121">
        <v>75</v>
      </c>
      <c r="BC175" s="121">
        <v>18</v>
      </c>
      <c r="BD175" s="125">
        <v>110</v>
      </c>
      <c r="BE175" s="121"/>
      <c r="BI175" s="121"/>
      <c r="BJ175" s="121"/>
      <c r="BK175" s="121"/>
      <c r="BL175" s="121"/>
      <c r="BM175" s="121"/>
      <c r="BO175" s="131">
        <v>200</v>
      </c>
      <c r="BP175" s="139">
        <v>110</v>
      </c>
      <c r="BQ175" s="143" t="s">
        <v>491</v>
      </c>
    </row>
    <row r="176" spans="1:69" x14ac:dyDescent="0.25">
      <c r="A176" s="120">
        <v>175</v>
      </c>
      <c r="B176" s="120" t="b">
        <v>0</v>
      </c>
      <c r="C176" s="120">
        <v>0</v>
      </c>
      <c r="D176" s="61">
        <v>1</v>
      </c>
      <c r="E176" s="120">
        <v>1</v>
      </c>
      <c r="F176" s="120" t="s">
        <v>172</v>
      </c>
      <c r="G176" s="55">
        <v>40</v>
      </c>
      <c r="H176" s="120">
        <v>151</v>
      </c>
      <c r="I176" s="57">
        <v>125</v>
      </c>
      <c r="J176" s="120">
        <v>135</v>
      </c>
      <c r="K176" s="120">
        <v>11</v>
      </c>
      <c r="L176" s="120">
        <v>60</v>
      </c>
      <c r="M176" s="120">
        <v>15</v>
      </c>
      <c r="N176" s="120">
        <v>40</v>
      </c>
      <c r="O176" s="120">
        <v>2</v>
      </c>
      <c r="P176" s="120">
        <v>25</v>
      </c>
      <c r="Q176" s="120">
        <v>42</v>
      </c>
      <c r="R176" s="120">
        <v>34.700000762939503</v>
      </c>
      <c r="S176" s="148">
        <v>23</v>
      </c>
      <c r="T176" s="120">
        <v>70</v>
      </c>
      <c r="U176" s="120">
        <v>20</v>
      </c>
      <c r="V176" s="120">
        <v>-9999</v>
      </c>
      <c r="W176" s="120">
        <v>-9999</v>
      </c>
      <c r="X176" s="120">
        <v>-9999</v>
      </c>
      <c r="Y176" s="120">
        <v>-9999</v>
      </c>
      <c r="Z176" s="120">
        <v>-9999</v>
      </c>
      <c r="AA176" s="120">
        <v>68</v>
      </c>
      <c r="AB176" s="120">
        <v>14.5</v>
      </c>
      <c r="AC176" s="120">
        <v>175</v>
      </c>
      <c r="AD176" s="120">
        <v>1447</v>
      </c>
      <c r="AE176" s="120">
        <v>-9999</v>
      </c>
      <c r="AF176" s="120">
        <v>-9999</v>
      </c>
      <c r="AG176" s="120">
        <v>-9999</v>
      </c>
      <c r="AQ176" s="55">
        <v>6</v>
      </c>
      <c r="AR176" s="55">
        <v>115</v>
      </c>
      <c r="AS176" s="55">
        <v>50</v>
      </c>
      <c r="AT176" s="55" t="e">
        <f>AVERAGEIFS(Compressors!$S:$S,Compressors!$G:$G,AS176,Compressors!$I:$I,AR176,Compressors!$D:$D,AQ176)</f>
        <v>#DIV/0!</v>
      </c>
      <c r="AU176" s="53"/>
      <c r="BB176" s="121">
        <v>75</v>
      </c>
      <c r="BC176" s="121">
        <v>18</v>
      </c>
      <c r="BD176" s="125">
        <v>110</v>
      </c>
      <c r="BE176" s="121"/>
      <c r="BI176" s="121"/>
      <c r="BJ176" s="121"/>
      <c r="BK176" s="121"/>
      <c r="BL176" s="121"/>
      <c r="BM176" s="121"/>
      <c r="BO176" s="130">
        <v>200</v>
      </c>
      <c r="BP176" s="139">
        <v>110</v>
      </c>
      <c r="BQ176" s="143" t="s">
        <v>363</v>
      </c>
    </row>
    <row r="177" spans="1:69" x14ac:dyDescent="0.25">
      <c r="A177" s="120">
        <v>176</v>
      </c>
      <c r="B177" s="120" t="b">
        <v>0</v>
      </c>
      <c r="C177" s="120">
        <v>0</v>
      </c>
      <c r="D177" s="61">
        <v>1</v>
      </c>
      <c r="E177" s="120">
        <v>1</v>
      </c>
      <c r="F177" s="120" t="s">
        <v>172</v>
      </c>
      <c r="G177" s="55">
        <v>40</v>
      </c>
      <c r="H177" s="120">
        <v>144</v>
      </c>
      <c r="I177" s="57">
        <v>140</v>
      </c>
      <c r="J177" s="120">
        <v>150</v>
      </c>
      <c r="K177" s="120">
        <v>1</v>
      </c>
      <c r="L177" s="120">
        <v>50</v>
      </c>
      <c r="M177" s="120">
        <v>15</v>
      </c>
      <c r="N177" s="120">
        <v>40</v>
      </c>
      <c r="O177" s="120">
        <v>2</v>
      </c>
      <c r="P177" s="120">
        <v>5</v>
      </c>
      <c r="Q177" s="120">
        <v>42</v>
      </c>
      <c r="R177" s="120">
        <v>34.700000762939503</v>
      </c>
      <c r="S177" s="148">
        <v>24.100000381469702</v>
      </c>
      <c r="T177" s="120">
        <v>65</v>
      </c>
      <c r="U177" s="120">
        <v>18</v>
      </c>
      <c r="V177" s="120">
        <v>-9999</v>
      </c>
      <c r="W177" s="120">
        <v>-9999</v>
      </c>
      <c r="X177" s="120">
        <v>-9999</v>
      </c>
      <c r="Y177" s="120">
        <v>-9999</v>
      </c>
      <c r="Z177" s="120">
        <v>-9999</v>
      </c>
      <c r="AA177" s="120">
        <v>68</v>
      </c>
      <c r="AB177" s="120">
        <v>14.5</v>
      </c>
      <c r="AC177" s="120">
        <v>176</v>
      </c>
      <c r="AD177" s="120">
        <v>1448</v>
      </c>
      <c r="AE177" s="120">
        <v>-9999</v>
      </c>
      <c r="AF177" s="120">
        <v>-9999</v>
      </c>
      <c r="AG177" s="120">
        <v>-9999</v>
      </c>
      <c r="AQ177" s="55">
        <v>6</v>
      </c>
      <c r="AR177" s="55">
        <v>125</v>
      </c>
      <c r="AS177" s="55">
        <v>50</v>
      </c>
      <c r="AT177" s="55" t="e">
        <f>AVERAGEIFS(Compressors!$S:$S,Compressors!$G:$G,AS177,Compressors!$I:$I,AR177,Compressors!$D:$D,AQ177)</f>
        <v>#DIV/0!</v>
      </c>
      <c r="AU177" s="53"/>
      <c r="BB177" s="121">
        <v>75</v>
      </c>
      <c r="BC177" s="121">
        <v>18</v>
      </c>
      <c r="BD177" s="125">
        <v>110</v>
      </c>
      <c r="BE177" s="121"/>
      <c r="BI177" s="121"/>
      <c r="BJ177" s="121"/>
      <c r="BK177" s="121"/>
      <c r="BL177" s="121"/>
      <c r="BM177" s="121"/>
      <c r="BO177" s="132">
        <v>200</v>
      </c>
      <c r="BP177" s="140">
        <v>115</v>
      </c>
      <c r="BQ177" s="142" t="s">
        <v>108</v>
      </c>
    </row>
    <row r="178" spans="1:69" x14ac:dyDescent="0.25">
      <c r="A178" s="120">
        <v>177</v>
      </c>
      <c r="B178" s="120" t="b">
        <v>0</v>
      </c>
      <c r="C178" s="120">
        <v>0</v>
      </c>
      <c r="D178" s="61">
        <v>1</v>
      </c>
      <c r="E178" s="120">
        <v>1</v>
      </c>
      <c r="F178" s="120" t="s">
        <v>172</v>
      </c>
      <c r="G178" s="55">
        <v>40</v>
      </c>
      <c r="H178" s="120">
        <v>151</v>
      </c>
      <c r="I178" s="57">
        <v>140</v>
      </c>
      <c r="J178" s="120">
        <v>140</v>
      </c>
      <c r="K178" s="120">
        <v>2</v>
      </c>
      <c r="L178" s="120">
        <v>50</v>
      </c>
      <c r="M178" s="120">
        <v>15</v>
      </c>
      <c r="N178" s="120">
        <v>40</v>
      </c>
      <c r="O178" s="120">
        <v>2</v>
      </c>
      <c r="P178" s="120">
        <v>20</v>
      </c>
      <c r="Q178" s="120">
        <v>44</v>
      </c>
      <c r="R178" s="120">
        <v>36.400001525878899</v>
      </c>
      <c r="S178" s="148">
        <v>24.100000381469702</v>
      </c>
      <c r="T178" s="120">
        <v>65</v>
      </c>
      <c r="U178" s="120">
        <v>18</v>
      </c>
      <c r="V178" s="120">
        <v>-9999</v>
      </c>
      <c r="W178" s="120">
        <v>-9999</v>
      </c>
      <c r="X178" s="120">
        <v>-9999</v>
      </c>
      <c r="Y178" s="120">
        <v>-9999</v>
      </c>
      <c r="Z178" s="120">
        <v>-9999</v>
      </c>
      <c r="AA178" s="120">
        <v>68</v>
      </c>
      <c r="AB178" s="120">
        <v>14.5</v>
      </c>
      <c r="AC178" s="120">
        <v>177</v>
      </c>
      <c r="AD178" s="120">
        <v>1449</v>
      </c>
      <c r="AE178" s="120">
        <v>-9999</v>
      </c>
      <c r="AF178" s="120">
        <v>-9999</v>
      </c>
      <c r="AG178" s="120">
        <v>-9999</v>
      </c>
      <c r="AQ178" s="59">
        <v>1</v>
      </c>
      <c r="AR178" s="59">
        <v>100</v>
      </c>
      <c r="AS178" s="59">
        <v>60</v>
      </c>
      <c r="AT178" s="59">
        <f>AVERAGEIFS(Compressors!$S:$S,Compressors!$G:$G,AS178,Compressors!$I:$I,AR178,Compressors!$D:$D,AQ178)</f>
        <v>18.799999237060501</v>
      </c>
      <c r="AU178" s="59">
        <v>18.8</v>
      </c>
      <c r="BB178" s="121">
        <v>75</v>
      </c>
      <c r="BC178" s="121">
        <v>19.399999618530298</v>
      </c>
      <c r="BD178" s="125">
        <v>115</v>
      </c>
      <c r="BE178" s="121"/>
      <c r="BI178" s="121"/>
      <c r="BJ178" s="121"/>
      <c r="BK178" s="121"/>
      <c r="BL178" s="121"/>
      <c r="BM178" s="121"/>
      <c r="BO178" s="131">
        <v>200</v>
      </c>
      <c r="BP178" s="139">
        <v>115</v>
      </c>
      <c r="BQ178" s="143" t="s">
        <v>491</v>
      </c>
    </row>
    <row r="179" spans="1:69" x14ac:dyDescent="0.25">
      <c r="A179" s="120">
        <v>178</v>
      </c>
      <c r="B179" s="120" t="b">
        <v>0</v>
      </c>
      <c r="C179" s="120">
        <v>0</v>
      </c>
      <c r="D179" s="61">
        <v>1</v>
      </c>
      <c r="E179" s="120">
        <v>1</v>
      </c>
      <c r="F179" s="120" t="s">
        <v>172</v>
      </c>
      <c r="G179" s="55">
        <v>40</v>
      </c>
      <c r="H179" s="120">
        <v>151</v>
      </c>
      <c r="I179" s="57">
        <v>140</v>
      </c>
      <c r="J179" s="120">
        <v>140</v>
      </c>
      <c r="K179" s="120">
        <v>3</v>
      </c>
      <c r="L179" s="120">
        <v>40</v>
      </c>
      <c r="M179" s="120">
        <v>15</v>
      </c>
      <c r="N179" s="120">
        <v>40</v>
      </c>
      <c r="O179" s="120">
        <v>2</v>
      </c>
      <c r="P179" s="120">
        <v>16.666999816894499</v>
      </c>
      <c r="Q179" s="120">
        <v>44</v>
      </c>
      <c r="R179" s="120">
        <v>36.400001525878899</v>
      </c>
      <c r="S179" s="148">
        <v>24.100000381469702</v>
      </c>
      <c r="T179" s="120">
        <v>57</v>
      </c>
      <c r="U179" s="120">
        <v>18</v>
      </c>
      <c r="V179" s="120">
        <v>-9999</v>
      </c>
      <c r="W179" s="120">
        <v>-9999</v>
      </c>
      <c r="X179" s="120">
        <v>-9999</v>
      </c>
      <c r="Y179" s="120">
        <v>-9999</v>
      </c>
      <c r="Z179" s="120">
        <v>-9999</v>
      </c>
      <c r="AA179" s="120">
        <v>68</v>
      </c>
      <c r="AB179" s="120">
        <v>14.5</v>
      </c>
      <c r="AC179" s="120">
        <v>178</v>
      </c>
      <c r="AD179" s="120">
        <v>1450</v>
      </c>
      <c r="AE179" s="120">
        <v>-9999</v>
      </c>
      <c r="AF179" s="120">
        <v>-9999</v>
      </c>
      <c r="AG179" s="120">
        <v>-9999</v>
      </c>
      <c r="AQ179" s="59">
        <v>1</v>
      </c>
      <c r="AR179" s="59">
        <v>110</v>
      </c>
      <c r="AS179" s="59">
        <v>60</v>
      </c>
      <c r="AT179" s="59" t="e">
        <f>AVERAGEIFS(Compressors!$S:$S,Compressors!$G:$G,AS179,Compressors!$I:$I,AR179,Compressors!$D:$D,AQ179)</f>
        <v>#DIV/0!</v>
      </c>
      <c r="AU179" s="30">
        <v>19.2</v>
      </c>
      <c r="BB179" s="121">
        <v>75</v>
      </c>
      <c r="BC179" s="121">
        <v>19.399999618530298</v>
      </c>
      <c r="BD179" s="125">
        <v>115</v>
      </c>
      <c r="BE179" s="121"/>
      <c r="BI179" s="121"/>
      <c r="BJ179" s="121"/>
      <c r="BK179" s="121"/>
      <c r="BL179" s="121"/>
      <c r="BM179" s="121"/>
      <c r="BO179" s="130">
        <v>200</v>
      </c>
      <c r="BP179" s="139">
        <v>115</v>
      </c>
      <c r="BQ179" s="143" t="s">
        <v>362</v>
      </c>
    </row>
    <row r="180" spans="1:69" x14ac:dyDescent="0.25">
      <c r="A180" s="120">
        <v>179</v>
      </c>
      <c r="B180" s="120" t="b">
        <v>0</v>
      </c>
      <c r="C180" s="120">
        <v>0</v>
      </c>
      <c r="D180" s="61">
        <v>1</v>
      </c>
      <c r="E180" s="120">
        <v>1</v>
      </c>
      <c r="F180" s="120" t="s">
        <v>172</v>
      </c>
      <c r="G180" s="55">
        <v>40</v>
      </c>
      <c r="H180" s="120">
        <v>144</v>
      </c>
      <c r="I180" s="57">
        <v>140</v>
      </c>
      <c r="J180" s="120">
        <v>150</v>
      </c>
      <c r="K180" s="120">
        <v>4</v>
      </c>
      <c r="L180" s="120">
        <v>100</v>
      </c>
      <c r="M180" s="120">
        <v>15</v>
      </c>
      <c r="N180" s="120">
        <v>40</v>
      </c>
      <c r="O180" s="120">
        <v>2</v>
      </c>
      <c r="P180" s="120">
        <v>-9999</v>
      </c>
      <c r="Q180" s="120">
        <v>42</v>
      </c>
      <c r="R180" s="120">
        <v>34.700000762939503</v>
      </c>
      <c r="S180" s="148">
        <v>24.100000381469702</v>
      </c>
      <c r="T180" s="120">
        <v>-9999</v>
      </c>
      <c r="U180" s="120">
        <v>18</v>
      </c>
      <c r="V180" s="120">
        <v>-9999</v>
      </c>
      <c r="W180" s="120">
        <v>-9999</v>
      </c>
      <c r="X180" s="120">
        <v>-9999</v>
      </c>
      <c r="Y180" s="120">
        <v>-9999</v>
      </c>
      <c r="Z180" s="120">
        <v>-9999</v>
      </c>
      <c r="AA180" s="120">
        <v>68</v>
      </c>
      <c r="AB180" s="120">
        <v>14.5</v>
      </c>
      <c r="AC180" s="120">
        <v>179</v>
      </c>
      <c r="AD180" s="120">
        <v>1451</v>
      </c>
      <c r="AE180" s="120">
        <v>-9999</v>
      </c>
      <c r="AF180" s="120">
        <v>-9999</v>
      </c>
      <c r="AG180" s="120">
        <v>-9999</v>
      </c>
      <c r="AQ180" s="59">
        <v>1</v>
      </c>
      <c r="AR180" s="59">
        <v>115</v>
      </c>
      <c r="AS180" s="59">
        <v>60</v>
      </c>
      <c r="AT180" s="59">
        <f>AVERAGEIFS(Compressors!$S:$S,Compressors!$G:$G,AS180,Compressors!$I:$I,AR180,Compressors!$D:$D,AQ180)</f>
        <v>19.399999618530298</v>
      </c>
      <c r="AU180" s="59">
        <v>19.399999999999999</v>
      </c>
      <c r="BB180" s="121">
        <v>75</v>
      </c>
      <c r="BC180" s="121">
        <v>19.399999618530298</v>
      </c>
      <c r="BD180" s="125">
        <v>115</v>
      </c>
      <c r="BE180" s="121"/>
      <c r="BI180" s="121"/>
      <c r="BJ180" s="121"/>
      <c r="BK180" s="121"/>
      <c r="BL180" s="121"/>
      <c r="BM180" s="121"/>
      <c r="BO180" s="131">
        <v>200</v>
      </c>
      <c r="BP180" s="139">
        <v>115</v>
      </c>
      <c r="BQ180" s="143" t="s">
        <v>363</v>
      </c>
    </row>
    <row r="181" spans="1:69" x14ac:dyDescent="0.25">
      <c r="A181" s="120">
        <v>180</v>
      </c>
      <c r="B181" s="120" t="b">
        <v>0</v>
      </c>
      <c r="C181" s="120">
        <v>0</v>
      </c>
      <c r="D181" s="61">
        <v>1</v>
      </c>
      <c r="E181" s="120">
        <v>1</v>
      </c>
      <c r="F181" s="120" t="s">
        <v>172</v>
      </c>
      <c r="G181" s="55">
        <v>40</v>
      </c>
      <c r="H181" s="120">
        <v>144</v>
      </c>
      <c r="I181" s="57">
        <v>140</v>
      </c>
      <c r="J181" s="120">
        <v>150</v>
      </c>
      <c r="K181" s="120">
        <v>11</v>
      </c>
      <c r="L181" s="120">
        <v>60</v>
      </c>
      <c r="M181" s="120">
        <v>15</v>
      </c>
      <c r="N181" s="120">
        <v>40</v>
      </c>
      <c r="O181" s="120">
        <v>2</v>
      </c>
      <c r="P181" s="120">
        <v>25</v>
      </c>
      <c r="Q181" s="120">
        <v>42</v>
      </c>
      <c r="R181" s="120">
        <v>34.700000762939503</v>
      </c>
      <c r="S181" s="148">
        <v>24.100000381469702</v>
      </c>
      <c r="T181" s="120">
        <v>70</v>
      </c>
      <c r="U181" s="120">
        <v>18</v>
      </c>
      <c r="V181" s="120">
        <v>-9999</v>
      </c>
      <c r="W181" s="120">
        <v>-9999</v>
      </c>
      <c r="X181" s="120">
        <v>-9999</v>
      </c>
      <c r="Y181" s="120">
        <v>-9999</v>
      </c>
      <c r="Z181" s="120">
        <v>-9999</v>
      </c>
      <c r="AA181" s="120">
        <v>68</v>
      </c>
      <c r="AB181" s="120">
        <v>14.5</v>
      </c>
      <c r="AC181" s="120">
        <v>180</v>
      </c>
      <c r="AD181" s="120">
        <v>1452</v>
      </c>
      <c r="AE181" s="120">
        <v>-9999</v>
      </c>
      <c r="AF181" s="120">
        <v>-9999</v>
      </c>
      <c r="AG181" s="120">
        <v>-9999</v>
      </c>
      <c r="AQ181" s="59">
        <v>1</v>
      </c>
      <c r="AR181" s="59">
        <v>125</v>
      </c>
      <c r="AS181" s="59">
        <v>60</v>
      </c>
      <c r="AT181" s="59">
        <f>AVERAGEIFS(Compressors!$S:$S,Compressors!$G:$G,AS181,Compressors!$I:$I,AR181,Compressors!$D:$D,AQ181)</f>
        <v>20.5</v>
      </c>
      <c r="AU181" s="59">
        <v>20.5</v>
      </c>
      <c r="BB181" s="121">
        <v>75</v>
      </c>
      <c r="BC181" s="121">
        <v>19.399999618530298</v>
      </c>
      <c r="BD181" s="125">
        <v>115</v>
      </c>
      <c r="BE181" s="121"/>
      <c r="BI181" s="121"/>
      <c r="BJ181" s="121"/>
      <c r="BK181" s="121"/>
      <c r="BL181" s="121"/>
      <c r="BM181" s="121"/>
      <c r="BO181" s="130">
        <v>200</v>
      </c>
      <c r="BP181" s="139">
        <v>125</v>
      </c>
      <c r="BQ181" s="143" t="s">
        <v>108</v>
      </c>
    </row>
    <row r="182" spans="1:69" x14ac:dyDescent="0.25">
      <c r="A182" s="120">
        <v>181</v>
      </c>
      <c r="B182" s="120" t="b">
        <v>0</v>
      </c>
      <c r="C182" s="120">
        <v>0</v>
      </c>
      <c r="D182" s="61">
        <v>1</v>
      </c>
      <c r="E182" s="120">
        <v>1</v>
      </c>
      <c r="F182" s="120" t="s">
        <v>172</v>
      </c>
      <c r="G182" s="55">
        <v>40</v>
      </c>
      <c r="H182" s="120">
        <v>136</v>
      </c>
      <c r="I182" s="57">
        <v>150</v>
      </c>
      <c r="J182" s="120">
        <v>160</v>
      </c>
      <c r="K182" s="120">
        <v>1</v>
      </c>
      <c r="L182" s="120">
        <v>50</v>
      </c>
      <c r="M182" s="120">
        <v>15</v>
      </c>
      <c r="N182" s="120">
        <v>40</v>
      </c>
      <c r="O182" s="120">
        <v>2</v>
      </c>
      <c r="P182" s="120">
        <v>5</v>
      </c>
      <c r="Q182" s="120">
        <v>42</v>
      </c>
      <c r="R182" s="120">
        <v>34.700000762939503</v>
      </c>
      <c r="S182" s="148">
        <v>25.600000381469702</v>
      </c>
      <c r="T182" s="120">
        <v>65</v>
      </c>
      <c r="U182" s="120">
        <v>17</v>
      </c>
      <c r="V182" s="120">
        <v>-9999</v>
      </c>
      <c r="W182" s="120">
        <v>-9999</v>
      </c>
      <c r="X182" s="120">
        <v>-9999</v>
      </c>
      <c r="Y182" s="120">
        <v>-9999</v>
      </c>
      <c r="Z182" s="120">
        <v>-9999</v>
      </c>
      <c r="AA182" s="120">
        <v>68</v>
      </c>
      <c r="AB182" s="120">
        <v>14.5</v>
      </c>
      <c r="AC182" s="120">
        <v>181</v>
      </c>
      <c r="AD182" s="120">
        <v>1453</v>
      </c>
      <c r="AE182" s="120">
        <v>-9999</v>
      </c>
      <c r="AF182" s="120">
        <v>-9999</v>
      </c>
      <c r="AG182" s="120">
        <v>-9999</v>
      </c>
      <c r="AQ182" s="59">
        <v>2</v>
      </c>
      <c r="AR182" s="59">
        <v>100</v>
      </c>
      <c r="AS182" s="59">
        <v>60</v>
      </c>
      <c r="AT182" s="59" t="e">
        <f>AVERAGEIFS(Compressors!$S:$S,Compressors!$G:$G,AS182,Compressors!$I:$I,AR182,Compressors!$D:$D,AQ182)</f>
        <v>#DIV/0!</v>
      </c>
      <c r="AU182" s="65">
        <f>AU178*0.9</f>
        <v>16.920000000000002</v>
      </c>
      <c r="BB182" s="121">
        <v>75</v>
      </c>
      <c r="BC182" s="121">
        <v>19.399999618530298</v>
      </c>
      <c r="BD182" s="125">
        <v>115</v>
      </c>
      <c r="BE182" s="121"/>
      <c r="BI182" s="121"/>
      <c r="BJ182" s="121"/>
      <c r="BK182" s="121"/>
      <c r="BL182" s="121"/>
      <c r="BM182" s="121"/>
      <c r="BO182" s="130">
        <v>200</v>
      </c>
      <c r="BP182" s="139">
        <v>125</v>
      </c>
      <c r="BQ182" s="143" t="s">
        <v>491</v>
      </c>
    </row>
    <row r="183" spans="1:69" x14ac:dyDescent="0.25">
      <c r="A183" s="120">
        <v>182</v>
      </c>
      <c r="B183" s="120" t="b">
        <v>0</v>
      </c>
      <c r="C183" s="120">
        <v>0</v>
      </c>
      <c r="D183" s="61">
        <v>1</v>
      </c>
      <c r="E183" s="120">
        <v>1</v>
      </c>
      <c r="F183" s="120" t="s">
        <v>172</v>
      </c>
      <c r="G183" s="55">
        <v>40</v>
      </c>
      <c r="H183" s="120">
        <v>142</v>
      </c>
      <c r="I183" s="57">
        <v>150</v>
      </c>
      <c r="J183" s="120">
        <v>150</v>
      </c>
      <c r="K183" s="120">
        <v>2</v>
      </c>
      <c r="L183" s="120">
        <v>50</v>
      </c>
      <c r="M183" s="120">
        <v>15</v>
      </c>
      <c r="N183" s="120">
        <v>40</v>
      </c>
      <c r="O183" s="120">
        <v>2</v>
      </c>
      <c r="P183" s="120">
        <v>20</v>
      </c>
      <c r="Q183" s="120">
        <v>44</v>
      </c>
      <c r="R183" s="120">
        <v>36.400001525878899</v>
      </c>
      <c r="S183" s="148">
        <v>25.600000381469702</v>
      </c>
      <c r="T183" s="120">
        <v>65</v>
      </c>
      <c r="U183" s="120">
        <v>17</v>
      </c>
      <c r="V183" s="120">
        <v>-9999</v>
      </c>
      <c r="W183" s="120">
        <v>-9999</v>
      </c>
      <c r="X183" s="120">
        <v>-9999</v>
      </c>
      <c r="Y183" s="120">
        <v>-9999</v>
      </c>
      <c r="Z183" s="120">
        <v>-9999</v>
      </c>
      <c r="AA183" s="120">
        <v>68</v>
      </c>
      <c r="AB183" s="120">
        <v>14.5</v>
      </c>
      <c r="AC183" s="120">
        <v>182</v>
      </c>
      <c r="AD183" s="120">
        <v>1454</v>
      </c>
      <c r="AE183" s="120">
        <v>-9999</v>
      </c>
      <c r="AF183" s="120">
        <v>-9999</v>
      </c>
      <c r="AG183" s="120">
        <v>-9999</v>
      </c>
      <c r="AQ183" s="59">
        <v>2</v>
      </c>
      <c r="AR183" s="59">
        <v>110</v>
      </c>
      <c r="AS183" s="59">
        <v>60</v>
      </c>
      <c r="AT183" s="59" t="e">
        <f>AVERAGEIFS(Compressors!$S:$S,Compressors!$G:$G,AS183,Compressors!$I:$I,AR183,Compressors!$D:$D,AQ183)</f>
        <v>#DIV/0!</v>
      </c>
      <c r="AU183" s="65">
        <f>AU179*0.9</f>
        <v>17.28</v>
      </c>
      <c r="BB183" s="121">
        <v>75</v>
      </c>
      <c r="BC183" s="121">
        <v>20.600000381469702</v>
      </c>
      <c r="BD183" s="125">
        <v>125</v>
      </c>
      <c r="BE183" s="121"/>
      <c r="BI183" s="121"/>
      <c r="BJ183" s="121"/>
      <c r="BK183" s="121"/>
      <c r="BL183" s="121"/>
      <c r="BM183" s="121"/>
      <c r="BO183" s="131">
        <v>200</v>
      </c>
      <c r="BP183" s="139">
        <v>125</v>
      </c>
      <c r="BQ183" s="143" t="s">
        <v>362</v>
      </c>
    </row>
    <row r="184" spans="1:69" x14ac:dyDescent="0.25">
      <c r="A184" s="120">
        <v>183</v>
      </c>
      <c r="B184" s="120" t="b">
        <v>0</v>
      </c>
      <c r="C184" s="120">
        <v>0</v>
      </c>
      <c r="D184" s="61">
        <v>1</v>
      </c>
      <c r="E184" s="120">
        <v>1</v>
      </c>
      <c r="F184" s="120" t="s">
        <v>172</v>
      </c>
      <c r="G184" s="55">
        <v>40</v>
      </c>
      <c r="H184" s="120">
        <v>142</v>
      </c>
      <c r="I184" s="57">
        <v>150</v>
      </c>
      <c r="J184" s="120">
        <v>150</v>
      </c>
      <c r="K184" s="120">
        <v>3</v>
      </c>
      <c r="L184" s="120">
        <v>40</v>
      </c>
      <c r="M184" s="120">
        <v>15</v>
      </c>
      <c r="N184" s="120">
        <v>40</v>
      </c>
      <c r="O184" s="120">
        <v>2</v>
      </c>
      <c r="P184" s="120">
        <v>16.666999816894499</v>
      </c>
      <c r="Q184" s="120">
        <v>44</v>
      </c>
      <c r="R184" s="120">
        <v>36.400001525878899</v>
      </c>
      <c r="S184" s="148">
        <v>25.600000381469702</v>
      </c>
      <c r="T184" s="120">
        <v>57</v>
      </c>
      <c r="U184" s="120">
        <v>17</v>
      </c>
      <c r="V184" s="120">
        <v>-9999</v>
      </c>
      <c r="W184" s="120">
        <v>-9999</v>
      </c>
      <c r="X184" s="120">
        <v>-9999</v>
      </c>
      <c r="Y184" s="120">
        <v>-9999</v>
      </c>
      <c r="Z184" s="120">
        <v>-9999</v>
      </c>
      <c r="AA184" s="120">
        <v>68</v>
      </c>
      <c r="AB184" s="120">
        <v>14.5</v>
      </c>
      <c r="AC184" s="120">
        <v>183</v>
      </c>
      <c r="AD184" s="120">
        <v>1455</v>
      </c>
      <c r="AE184" s="120">
        <v>-9999</v>
      </c>
      <c r="AF184" s="120">
        <v>-9999</v>
      </c>
      <c r="AG184" s="120">
        <v>-9999</v>
      </c>
      <c r="AQ184" s="59">
        <v>2</v>
      </c>
      <c r="AR184" s="59">
        <v>115</v>
      </c>
      <c r="AS184" s="59">
        <v>60</v>
      </c>
      <c r="AT184" s="59" t="e">
        <f>AVERAGEIFS(Compressors!$S:$S,Compressors!$G:$G,AS184,Compressors!$I:$I,AR184,Compressors!$D:$D,AQ184)</f>
        <v>#DIV/0!</v>
      </c>
      <c r="AU184" s="65">
        <f>AU180*0.9</f>
        <v>17.46</v>
      </c>
      <c r="BB184" s="121">
        <v>75</v>
      </c>
      <c r="BC184" s="121">
        <v>20.600000381469702</v>
      </c>
      <c r="BD184" s="125">
        <v>125</v>
      </c>
      <c r="BE184" s="121"/>
      <c r="BI184" s="121"/>
      <c r="BJ184" s="121"/>
      <c r="BK184" s="121"/>
      <c r="BL184" s="121"/>
      <c r="BM184" s="121"/>
      <c r="BO184" s="130">
        <v>200</v>
      </c>
      <c r="BP184" s="139">
        <v>125</v>
      </c>
      <c r="BQ184" s="141" t="s">
        <v>363</v>
      </c>
    </row>
    <row r="185" spans="1:69" x14ac:dyDescent="0.25">
      <c r="A185" s="120">
        <v>184</v>
      </c>
      <c r="B185" s="120" t="b">
        <v>0</v>
      </c>
      <c r="C185" s="120">
        <v>0</v>
      </c>
      <c r="D185" s="61">
        <v>1</v>
      </c>
      <c r="E185" s="120">
        <v>1</v>
      </c>
      <c r="F185" s="120" t="s">
        <v>172</v>
      </c>
      <c r="G185" s="55">
        <v>40</v>
      </c>
      <c r="H185" s="120">
        <v>136</v>
      </c>
      <c r="I185" s="57">
        <v>150</v>
      </c>
      <c r="J185" s="120">
        <v>160</v>
      </c>
      <c r="K185" s="120">
        <v>4</v>
      </c>
      <c r="L185" s="120">
        <v>100</v>
      </c>
      <c r="M185" s="120">
        <v>15</v>
      </c>
      <c r="N185" s="120">
        <v>40</v>
      </c>
      <c r="O185" s="120">
        <v>2</v>
      </c>
      <c r="P185" s="120">
        <v>-9999</v>
      </c>
      <c r="Q185" s="120">
        <v>42</v>
      </c>
      <c r="R185" s="120">
        <v>34.700000762939503</v>
      </c>
      <c r="S185" s="148">
        <v>25.600000381469702</v>
      </c>
      <c r="T185" s="120">
        <v>-9999</v>
      </c>
      <c r="U185" s="120">
        <v>17</v>
      </c>
      <c r="V185" s="120">
        <v>-9999</v>
      </c>
      <c r="W185" s="120">
        <v>-9999</v>
      </c>
      <c r="X185" s="120">
        <v>-9999</v>
      </c>
      <c r="Y185" s="120">
        <v>-9999</v>
      </c>
      <c r="Z185" s="120">
        <v>-9999</v>
      </c>
      <c r="AA185" s="120">
        <v>68</v>
      </c>
      <c r="AB185" s="120">
        <v>14.5</v>
      </c>
      <c r="AC185" s="120">
        <v>184</v>
      </c>
      <c r="AD185" s="120">
        <v>1456</v>
      </c>
      <c r="AE185" s="120">
        <v>-9999</v>
      </c>
      <c r="AF185" s="120">
        <v>-9999</v>
      </c>
      <c r="AG185" s="120">
        <v>-9999</v>
      </c>
      <c r="AQ185" s="59">
        <v>2</v>
      </c>
      <c r="AR185" s="59">
        <v>125</v>
      </c>
      <c r="AS185" s="59">
        <v>60</v>
      </c>
      <c r="AT185" s="59" t="e">
        <f>AVERAGEIFS(Compressors!$S:$S,Compressors!$G:$G,AS185,Compressors!$I:$I,AR185,Compressors!$D:$D,AQ185)</f>
        <v>#DIV/0!</v>
      </c>
      <c r="AU185" s="65">
        <f>AU181*0.9</f>
        <v>18.45</v>
      </c>
      <c r="BB185" s="121">
        <v>75</v>
      </c>
      <c r="BC185" s="121">
        <v>20.600000381469702</v>
      </c>
      <c r="BD185" s="125">
        <v>125</v>
      </c>
      <c r="BE185" s="121"/>
      <c r="BI185" s="121"/>
      <c r="BJ185" s="121"/>
      <c r="BK185" s="121"/>
      <c r="BL185" s="121"/>
      <c r="BM185" s="121"/>
    </row>
    <row r="186" spans="1:69" x14ac:dyDescent="0.25">
      <c r="A186" s="120">
        <v>185</v>
      </c>
      <c r="B186" s="120" t="b">
        <v>0</v>
      </c>
      <c r="C186" s="120">
        <v>0</v>
      </c>
      <c r="D186" s="61">
        <v>1</v>
      </c>
      <c r="E186" s="120">
        <v>1</v>
      </c>
      <c r="F186" s="120" t="s">
        <v>172</v>
      </c>
      <c r="G186" s="55">
        <v>40</v>
      </c>
      <c r="H186" s="120">
        <v>136</v>
      </c>
      <c r="I186" s="57">
        <v>150</v>
      </c>
      <c r="J186" s="120">
        <v>160</v>
      </c>
      <c r="K186" s="120">
        <v>11</v>
      </c>
      <c r="L186" s="120">
        <v>60</v>
      </c>
      <c r="M186" s="120">
        <v>15</v>
      </c>
      <c r="N186" s="120">
        <v>40</v>
      </c>
      <c r="O186" s="120">
        <v>2</v>
      </c>
      <c r="P186" s="120">
        <v>25</v>
      </c>
      <c r="Q186" s="120">
        <v>42</v>
      </c>
      <c r="R186" s="120">
        <v>34.700000762939503</v>
      </c>
      <c r="S186" s="148">
        <v>25.600000381469702</v>
      </c>
      <c r="T186" s="120">
        <v>70</v>
      </c>
      <c r="U186" s="120">
        <v>17</v>
      </c>
      <c r="V186" s="120">
        <v>-9999</v>
      </c>
      <c r="W186" s="120">
        <v>-9999</v>
      </c>
      <c r="X186" s="120">
        <v>-9999</v>
      </c>
      <c r="Y186" s="120">
        <v>-9999</v>
      </c>
      <c r="Z186" s="120">
        <v>-9999</v>
      </c>
      <c r="AA186" s="120">
        <v>68</v>
      </c>
      <c r="AB186" s="120">
        <v>14.5</v>
      </c>
      <c r="AC186" s="120">
        <v>185</v>
      </c>
      <c r="AD186" s="120">
        <v>1457</v>
      </c>
      <c r="AE186" s="120">
        <v>-9999</v>
      </c>
      <c r="AF186" s="120">
        <v>-9999</v>
      </c>
      <c r="AG186" s="120">
        <v>-9999</v>
      </c>
      <c r="AQ186" s="59">
        <v>4</v>
      </c>
      <c r="AR186" s="59">
        <v>100</v>
      </c>
      <c r="AS186" s="59">
        <v>60</v>
      </c>
      <c r="AT186" s="59">
        <f>AVERAGEIFS(Compressors!$S:$S,Compressors!$G:$G,AS186,Compressors!$I:$I,AR186,Compressors!$D:$D,AQ186)</f>
        <v>18.899999618530298</v>
      </c>
      <c r="AU186" s="59">
        <v>18.899999618530298</v>
      </c>
      <c r="AV186">
        <f>AU186/AU178</f>
        <v>1.0053191286452285</v>
      </c>
      <c r="BB186" s="121">
        <v>75</v>
      </c>
      <c r="BC186" s="121">
        <v>20.600000381469702</v>
      </c>
      <c r="BD186" s="125">
        <v>125</v>
      </c>
      <c r="BE186" s="121"/>
      <c r="BI186" s="121"/>
      <c r="BJ186" s="121"/>
      <c r="BK186" s="121"/>
      <c r="BL186" s="121"/>
      <c r="BM186" s="121"/>
    </row>
    <row r="187" spans="1:69" x14ac:dyDescent="0.25">
      <c r="A187" s="120">
        <v>186</v>
      </c>
      <c r="B187" s="120" t="b">
        <v>0</v>
      </c>
      <c r="C187" s="120">
        <v>0</v>
      </c>
      <c r="D187" s="61">
        <v>1</v>
      </c>
      <c r="E187" s="120">
        <v>1</v>
      </c>
      <c r="F187" s="120" t="s">
        <v>172</v>
      </c>
      <c r="G187" s="55">
        <v>40</v>
      </c>
      <c r="H187" s="120">
        <v>122</v>
      </c>
      <c r="I187" s="57">
        <v>175</v>
      </c>
      <c r="J187" s="120">
        <v>185</v>
      </c>
      <c r="K187" s="120">
        <v>1</v>
      </c>
      <c r="L187" s="120">
        <v>50</v>
      </c>
      <c r="M187" s="120">
        <v>15</v>
      </c>
      <c r="N187" s="120">
        <v>40</v>
      </c>
      <c r="O187" s="120">
        <v>2</v>
      </c>
      <c r="P187" s="120">
        <v>5</v>
      </c>
      <c r="Q187" s="120">
        <v>42</v>
      </c>
      <c r="R187" s="120">
        <v>34.700000762939503</v>
      </c>
      <c r="S187" s="148">
        <v>28.600000381469702</v>
      </c>
      <c r="T187" s="120">
        <v>65</v>
      </c>
      <c r="U187" s="120">
        <v>15</v>
      </c>
      <c r="V187" s="120">
        <v>-9999</v>
      </c>
      <c r="W187" s="120">
        <v>-9999</v>
      </c>
      <c r="X187" s="120">
        <v>-9999</v>
      </c>
      <c r="Y187" s="120">
        <v>-9999</v>
      </c>
      <c r="Z187" s="120">
        <v>-9999</v>
      </c>
      <c r="AA187" s="120">
        <v>68</v>
      </c>
      <c r="AB187" s="120">
        <v>14.5</v>
      </c>
      <c r="AC187" s="120">
        <v>186</v>
      </c>
      <c r="AD187" s="120">
        <v>1458</v>
      </c>
      <c r="AE187" s="120">
        <v>-9999</v>
      </c>
      <c r="AF187" s="120">
        <v>-9999</v>
      </c>
      <c r="AG187" s="120">
        <v>-9999</v>
      </c>
      <c r="AQ187" s="59">
        <v>4</v>
      </c>
      <c r="AR187" s="59">
        <v>110</v>
      </c>
      <c r="AS187" s="59">
        <v>60</v>
      </c>
      <c r="AT187" s="59">
        <f>AVERAGEIFS(Compressors!$S:$S,Compressors!$G:$G,AS187,Compressors!$I:$I,AR187,Compressors!$D:$D,AQ187)</f>
        <v>20.200000762939499</v>
      </c>
      <c r="AU187" s="59">
        <v>20.200000762939499</v>
      </c>
      <c r="AV187" s="120">
        <f>AU187/AU179</f>
        <v>1.0520833730697656</v>
      </c>
      <c r="BB187" s="121">
        <v>75</v>
      </c>
      <c r="BC187" s="121">
        <v>20.600000381469702</v>
      </c>
      <c r="BD187" s="125">
        <v>125</v>
      </c>
      <c r="BE187" s="121"/>
      <c r="BI187" s="121"/>
      <c r="BJ187" s="121"/>
      <c r="BK187" s="121"/>
      <c r="BL187" s="121"/>
      <c r="BM187" s="121"/>
    </row>
    <row r="188" spans="1:69" x14ac:dyDescent="0.25">
      <c r="A188" s="120">
        <v>187</v>
      </c>
      <c r="B188" s="120" t="b">
        <v>0</v>
      </c>
      <c r="C188" s="120">
        <v>0</v>
      </c>
      <c r="D188" s="61">
        <v>1</v>
      </c>
      <c r="E188" s="120">
        <v>1</v>
      </c>
      <c r="F188" s="120" t="s">
        <v>172</v>
      </c>
      <c r="G188" s="55">
        <v>40</v>
      </c>
      <c r="H188" s="120">
        <v>127</v>
      </c>
      <c r="I188" s="57">
        <v>175</v>
      </c>
      <c r="J188" s="120">
        <v>175</v>
      </c>
      <c r="K188" s="120">
        <v>2</v>
      </c>
      <c r="L188" s="120">
        <v>50</v>
      </c>
      <c r="M188" s="120">
        <v>15</v>
      </c>
      <c r="N188" s="120">
        <v>40</v>
      </c>
      <c r="O188" s="120">
        <v>2</v>
      </c>
      <c r="P188" s="120">
        <v>20</v>
      </c>
      <c r="Q188" s="120">
        <v>44</v>
      </c>
      <c r="R188" s="120">
        <v>36.400001525878899</v>
      </c>
      <c r="S188" s="148">
        <v>28.600000381469702</v>
      </c>
      <c r="T188" s="120">
        <v>65</v>
      </c>
      <c r="U188" s="120">
        <v>15</v>
      </c>
      <c r="V188" s="120">
        <v>-9999</v>
      </c>
      <c r="W188" s="120">
        <v>-9999</v>
      </c>
      <c r="X188" s="120">
        <v>-9999</v>
      </c>
      <c r="Y188" s="120">
        <v>-9999</v>
      </c>
      <c r="Z188" s="120">
        <v>-9999</v>
      </c>
      <c r="AA188" s="120">
        <v>68</v>
      </c>
      <c r="AB188" s="120">
        <v>14.5</v>
      </c>
      <c r="AC188" s="120">
        <v>187</v>
      </c>
      <c r="AD188" s="120">
        <v>1459</v>
      </c>
      <c r="AE188" s="120">
        <v>-9999</v>
      </c>
      <c r="AF188" s="120">
        <v>-9999</v>
      </c>
      <c r="AG188" s="120">
        <v>-9999</v>
      </c>
      <c r="AQ188" s="59">
        <v>4</v>
      </c>
      <c r="AR188" s="59">
        <v>115</v>
      </c>
      <c r="AS188" s="59">
        <v>60</v>
      </c>
      <c r="AT188" s="59" t="e">
        <f>AVERAGEIFS(Compressors!$S:$S,Compressors!$G:$G,AS188,Compressors!$I:$I,AR188,Compressors!$D:$D,AQ188)</f>
        <v>#DIV/0!</v>
      </c>
      <c r="BB188" s="121">
        <v>100</v>
      </c>
      <c r="BC188" s="121">
        <v>18.100000381469702</v>
      </c>
      <c r="BD188" s="125">
        <v>100</v>
      </c>
      <c r="BE188" s="121"/>
      <c r="BF188" s="122">
        <v>100</v>
      </c>
      <c r="BG188" s="123">
        <v>16</v>
      </c>
      <c r="BH188" s="124">
        <v>100</v>
      </c>
      <c r="BI188" s="121">
        <f>BG188/BC188</f>
        <v>0.8839778819220564</v>
      </c>
      <c r="BJ188" s="121"/>
      <c r="BK188" s="121"/>
      <c r="BL188" s="121"/>
      <c r="BM188" s="121"/>
    </row>
    <row r="189" spans="1:69" x14ac:dyDescent="0.25">
      <c r="A189" s="120">
        <v>188</v>
      </c>
      <c r="B189" s="120" t="b">
        <v>0</v>
      </c>
      <c r="C189" s="120">
        <v>0</v>
      </c>
      <c r="D189" s="61">
        <v>1</v>
      </c>
      <c r="E189" s="120">
        <v>1</v>
      </c>
      <c r="F189" s="120" t="s">
        <v>172</v>
      </c>
      <c r="G189" s="55">
        <v>40</v>
      </c>
      <c r="H189" s="120">
        <v>127</v>
      </c>
      <c r="I189" s="57">
        <v>175</v>
      </c>
      <c r="J189" s="120">
        <v>175</v>
      </c>
      <c r="K189" s="120">
        <v>3</v>
      </c>
      <c r="L189" s="120">
        <v>40</v>
      </c>
      <c r="M189" s="120">
        <v>15</v>
      </c>
      <c r="N189" s="120">
        <v>40</v>
      </c>
      <c r="O189" s="120">
        <v>2</v>
      </c>
      <c r="P189" s="120">
        <v>16.666999816894499</v>
      </c>
      <c r="Q189" s="120">
        <v>44</v>
      </c>
      <c r="R189" s="120">
        <v>36.400001525878899</v>
      </c>
      <c r="S189" s="148">
        <v>28.600000381469702</v>
      </c>
      <c r="T189" s="120">
        <v>57</v>
      </c>
      <c r="U189" s="120">
        <v>15</v>
      </c>
      <c r="V189" s="120">
        <v>-9999</v>
      </c>
      <c r="W189" s="120">
        <v>-9999</v>
      </c>
      <c r="X189" s="120">
        <v>-9999</v>
      </c>
      <c r="Y189" s="120">
        <v>-9999</v>
      </c>
      <c r="Z189" s="120">
        <v>-9999</v>
      </c>
      <c r="AA189" s="120">
        <v>68</v>
      </c>
      <c r="AB189" s="120">
        <v>14.5</v>
      </c>
      <c r="AC189" s="120">
        <v>188</v>
      </c>
      <c r="AD189" s="120">
        <v>1460</v>
      </c>
      <c r="AE189" s="120">
        <v>-9999</v>
      </c>
      <c r="AF189" s="120">
        <v>-9999</v>
      </c>
      <c r="AG189" s="120">
        <v>-9999</v>
      </c>
      <c r="AQ189" s="59">
        <v>4</v>
      </c>
      <c r="AR189" s="59">
        <v>125</v>
      </c>
      <c r="AS189" s="59">
        <v>60</v>
      </c>
      <c r="AT189" s="59">
        <f>AVERAGEIFS(Compressors!$S:$S,Compressors!$G:$G,AS189,Compressors!$I:$I,AR189,Compressors!$D:$D,AQ189)</f>
        <v>22</v>
      </c>
      <c r="AU189" s="59">
        <v>22</v>
      </c>
      <c r="AV189">
        <f>AU189/AU181</f>
        <v>1.0731707317073171</v>
      </c>
      <c r="AW189">
        <f>AVERAGE(AV189,AV187,AV186)</f>
        <v>1.0435244111407707</v>
      </c>
      <c r="AX189" t="s">
        <v>366</v>
      </c>
      <c r="BB189" s="121">
        <v>100</v>
      </c>
      <c r="BC189" s="121">
        <v>18.100000381469702</v>
      </c>
      <c r="BD189" s="125">
        <v>100</v>
      </c>
      <c r="BE189" s="121"/>
      <c r="BF189" s="122">
        <v>100</v>
      </c>
      <c r="BG189" s="123">
        <v>16</v>
      </c>
      <c r="BH189" s="124">
        <v>100</v>
      </c>
      <c r="BI189" s="121"/>
      <c r="BJ189" s="121"/>
      <c r="BK189" s="121"/>
      <c r="BL189" s="121"/>
      <c r="BM189" s="121"/>
    </row>
    <row r="190" spans="1:69" x14ac:dyDescent="0.25">
      <c r="A190" s="120">
        <v>189</v>
      </c>
      <c r="B190" s="120" t="b">
        <v>0</v>
      </c>
      <c r="C190" s="120">
        <v>0</v>
      </c>
      <c r="D190" s="61">
        <v>1</v>
      </c>
      <c r="E190" s="120">
        <v>1</v>
      </c>
      <c r="F190" s="120" t="s">
        <v>172</v>
      </c>
      <c r="G190" s="55">
        <v>40</v>
      </c>
      <c r="H190" s="120">
        <v>122</v>
      </c>
      <c r="I190" s="57">
        <v>175</v>
      </c>
      <c r="J190" s="120">
        <v>185</v>
      </c>
      <c r="K190" s="120">
        <v>4</v>
      </c>
      <c r="L190" s="120">
        <v>100</v>
      </c>
      <c r="M190" s="120">
        <v>15</v>
      </c>
      <c r="N190" s="120">
        <v>40</v>
      </c>
      <c r="O190" s="120">
        <v>2</v>
      </c>
      <c r="P190" s="120">
        <v>-9999</v>
      </c>
      <c r="Q190" s="120">
        <v>42</v>
      </c>
      <c r="R190" s="120">
        <v>34.700000762939503</v>
      </c>
      <c r="S190" s="148">
        <v>28.600000381469702</v>
      </c>
      <c r="T190" s="120">
        <v>-9999</v>
      </c>
      <c r="U190" s="120">
        <v>15</v>
      </c>
      <c r="V190" s="120">
        <v>-9999</v>
      </c>
      <c r="W190" s="120">
        <v>-9999</v>
      </c>
      <c r="X190" s="120">
        <v>-9999</v>
      </c>
      <c r="Y190" s="120">
        <v>-9999</v>
      </c>
      <c r="Z190" s="120">
        <v>-9999</v>
      </c>
      <c r="AA190" s="120">
        <v>68</v>
      </c>
      <c r="AB190" s="120">
        <v>14.5</v>
      </c>
      <c r="AC190" s="120">
        <v>189</v>
      </c>
      <c r="AD190" s="120">
        <v>1461</v>
      </c>
      <c r="AE190" s="120">
        <v>-9999</v>
      </c>
      <c r="AF190" s="120">
        <v>-9999</v>
      </c>
      <c r="AG190" s="120">
        <v>-9999</v>
      </c>
      <c r="AQ190" s="59">
        <v>5</v>
      </c>
      <c r="AR190" s="59">
        <v>100</v>
      </c>
      <c r="AS190" s="59">
        <v>60</v>
      </c>
      <c r="AT190" s="59">
        <f>AVERAGEIFS(Compressors!$S:$S,Compressors!$G:$G,AS190,Compressors!$I:$I,AR190,Compressors!$D:$D,AQ190)</f>
        <v>16.700000762939499</v>
      </c>
      <c r="AU190" s="59">
        <v>16.700000762939499</v>
      </c>
      <c r="BB190" s="121">
        <v>100</v>
      </c>
      <c r="BC190" s="121">
        <v>18.100000381469702</v>
      </c>
      <c r="BD190" s="125">
        <v>100</v>
      </c>
      <c r="BE190" s="121"/>
      <c r="BF190" s="122">
        <v>100</v>
      </c>
      <c r="BG190" s="123">
        <v>16</v>
      </c>
      <c r="BH190" s="124">
        <v>100</v>
      </c>
      <c r="BI190" s="121"/>
      <c r="BJ190" s="121"/>
      <c r="BK190" s="121"/>
      <c r="BL190" s="121"/>
      <c r="BM190" s="121"/>
    </row>
    <row r="191" spans="1:69" x14ac:dyDescent="0.25">
      <c r="A191" s="120">
        <v>190</v>
      </c>
      <c r="B191" s="120" t="b">
        <v>0</v>
      </c>
      <c r="C191" s="120">
        <v>0</v>
      </c>
      <c r="D191" s="61">
        <v>1</v>
      </c>
      <c r="E191" s="120">
        <v>1</v>
      </c>
      <c r="F191" s="120" t="s">
        <v>172</v>
      </c>
      <c r="G191" s="55">
        <v>40</v>
      </c>
      <c r="H191" s="120">
        <v>122</v>
      </c>
      <c r="I191" s="57">
        <v>175</v>
      </c>
      <c r="J191" s="120">
        <v>185</v>
      </c>
      <c r="K191" s="120">
        <v>11</v>
      </c>
      <c r="L191" s="120">
        <v>60</v>
      </c>
      <c r="M191" s="120">
        <v>15</v>
      </c>
      <c r="N191" s="120">
        <v>40</v>
      </c>
      <c r="O191" s="120">
        <v>2</v>
      </c>
      <c r="P191" s="120">
        <v>25</v>
      </c>
      <c r="Q191" s="120">
        <v>42</v>
      </c>
      <c r="R191" s="120">
        <v>34.700000762939503</v>
      </c>
      <c r="S191" s="148">
        <v>28.600000381469702</v>
      </c>
      <c r="T191" s="120">
        <v>70</v>
      </c>
      <c r="U191" s="120">
        <v>15</v>
      </c>
      <c r="V191" s="120">
        <v>-9999</v>
      </c>
      <c r="W191" s="120">
        <v>-9999</v>
      </c>
      <c r="X191" s="120">
        <v>-9999</v>
      </c>
      <c r="Y191" s="120">
        <v>-9999</v>
      </c>
      <c r="Z191" s="120">
        <v>-9999</v>
      </c>
      <c r="AA191" s="120">
        <v>68</v>
      </c>
      <c r="AB191" s="120">
        <v>14.5</v>
      </c>
      <c r="AC191" s="120">
        <v>190</v>
      </c>
      <c r="AD191" s="120">
        <v>1462</v>
      </c>
      <c r="AE191" s="120">
        <v>-9999</v>
      </c>
      <c r="AF191" s="120">
        <v>-9999</v>
      </c>
      <c r="AG191" s="120">
        <v>-9999</v>
      </c>
      <c r="AQ191" s="59">
        <v>5</v>
      </c>
      <c r="AR191" s="59">
        <v>110</v>
      </c>
      <c r="AS191" s="59">
        <v>60</v>
      </c>
      <c r="AT191" s="59">
        <f>AVERAGEIFS(Compressors!$S:$S,Compressors!$G:$G,AS191,Compressors!$I:$I,AR191,Compressors!$D:$D,AQ191)</f>
        <v>17.299999237060501</v>
      </c>
      <c r="AU191" s="59">
        <v>17.299999237060501</v>
      </c>
      <c r="BB191" s="121">
        <v>100</v>
      </c>
      <c r="BC191" s="121">
        <v>18.100000381469702</v>
      </c>
      <c r="BD191" s="125">
        <v>100</v>
      </c>
      <c r="BE191" s="121"/>
      <c r="BF191" s="122">
        <v>100</v>
      </c>
      <c r="BG191" s="123">
        <v>16</v>
      </c>
      <c r="BH191" s="124">
        <v>100</v>
      </c>
      <c r="BI191" s="121"/>
      <c r="BJ191" s="121"/>
      <c r="BK191" s="121"/>
      <c r="BL191" s="121"/>
      <c r="BM191" s="121"/>
    </row>
    <row r="192" spans="1:69" x14ac:dyDescent="0.25">
      <c r="A192" s="120">
        <v>191</v>
      </c>
      <c r="B192" s="120" t="b">
        <v>0</v>
      </c>
      <c r="C192" s="120">
        <v>0</v>
      </c>
      <c r="D192" s="61">
        <v>1</v>
      </c>
      <c r="E192" s="120">
        <v>1</v>
      </c>
      <c r="F192" s="120" t="s">
        <v>172</v>
      </c>
      <c r="G192" s="55">
        <v>40</v>
      </c>
      <c r="H192" s="120">
        <v>111</v>
      </c>
      <c r="I192" s="57">
        <v>200</v>
      </c>
      <c r="J192" s="120">
        <v>210</v>
      </c>
      <c r="K192" s="120">
        <v>1</v>
      </c>
      <c r="L192" s="120">
        <v>50</v>
      </c>
      <c r="M192" s="120">
        <v>15</v>
      </c>
      <c r="N192" s="120">
        <v>40</v>
      </c>
      <c r="O192" s="120">
        <v>2</v>
      </c>
      <c r="P192" s="120">
        <v>5</v>
      </c>
      <c r="Q192" s="120">
        <v>42</v>
      </c>
      <c r="R192" s="120">
        <v>34.700000762939503</v>
      </c>
      <c r="S192" s="148">
        <v>31.399999618530298</v>
      </c>
      <c r="T192" s="120">
        <v>65</v>
      </c>
      <c r="U192" s="120">
        <v>13</v>
      </c>
      <c r="V192" s="120">
        <v>-9999</v>
      </c>
      <c r="W192" s="120">
        <v>-9999</v>
      </c>
      <c r="X192" s="120">
        <v>-9999</v>
      </c>
      <c r="Y192" s="120">
        <v>-9999</v>
      </c>
      <c r="Z192" s="120">
        <v>-9999</v>
      </c>
      <c r="AA192" s="120">
        <v>68</v>
      </c>
      <c r="AB192" s="120">
        <v>14.5</v>
      </c>
      <c r="AC192" s="120">
        <v>191</v>
      </c>
      <c r="AD192" s="120">
        <v>1463</v>
      </c>
      <c r="AE192" s="120">
        <v>-9999</v>
      </c>
      <c r="AF192" s="120">
        <v>-9999</v>
      </c>
      <c r="AG192" s="120">
        <v>-9999</v>
      </c>
      <c r="AQ192" s="59">
        <v>5</v>
      </c>
      <c r="AR192" s="59">
        <v>115</v>
      </c>
      <c r="AS192" s="59">
        <v>60</v>
      </c>
      <c r="AT192" s="59" t="e">
        <f>AVERAGEIFS(Compressors!$S:$S,Compressors!$G:$G,AS192,Compressors!$I:$I,AR192,Compressors!$D:$D,AQ192)</f>
        <v>#DIV/0!</v>
      </c>
      <c r="BB192" s="121">
        <v>100</v>
      </c>
      <c r="BC192" s="121">
        <v>18.100000381469702</v>
      </c>
      <c r="BD192" s="125">
        <v>100</v>
      </c>
      <c r="BE192" s="121"/>
      <c r="BF192" s="122">
        <v>100</v>
      </c>
      <c r="BG192" s="123">
        <v>16</v>
      </c>
      <c r="BH192" s="124">
        <v>100</v>
      </c>
      <c r="BI192" s="121"/>
      <c r="BJ192" s="121"/>
      <c r="BK192" s="121"/>
      <c r="BL192" s="121"/>
      <c r="BM192" s="121"/>
    </row>
    <row r="193" spans="1:65" x14ac:dyDescent="0.25">
      <c r="A193" s="120">
        <v>192</v>
      </c>
      <c r="B193" s="120" t="b">
        <v>0</v>
      </c>
      <c r="C193" s="120">
        <v>0</v>
      </c>
      <c r="D193" s="61">
        <v>1</v>
      </c>
      <c r="E193" s="120">
        <v>1</v>
      </c>
      <c r="F193" s="120" t="s">
        <v>172</v>
      </c>
      <c r="G193" s="55">
        <v>40</v>
      </c>
      <c r="H193" s="120">
        <v>116</v>
      </c>
      <c r="I193" s="57">
        <v>200</v>
      </c>
      <c r="J193" s="120">
        <v>200</v>
      </c>
      <c r="K193" s="120">
        <v>2</v>
      </c>
      <c r="L193" s="120">
        <v>50</v>
      </c>
      <c r="M193" s="120">
        <v>15</v>
      </c>
      <c r="N193" s="120">
        <v>40</v>
      </c>
      <c r="O193" s="120">
        <v>2</v>
      </c>
      <c r="P193" s="120">
        <v>20</v>
      </c>
      <c r="Q193" s="120">
        <v>44</v>
      </c>
      <c r="R193" s="120">
        <v>36.400001525878899</v>
      </c>
      <c r="S193" s="148">
        <v>31.399999618530298</v>
      </c>
      <c r="T193" s="120">
        <v>65</v>
      </c>
      <c r="U193" s="120">
        <v>13</v>
      </c>
      <c r="V193" s="120">
        <v>-9999</v>
      </c>
      <c r="W193" s="120">
        <v>-9999</v>
      </c>
      <c r="X193" s="120">
        <v>-9999</v>
      </c>
      <c r="Y193" s="120">
        <v>-9999</v>
      </c>
      <c r="Z193" s="120">
        <v>-9999</v>
      </c>
      <c r="AA193" s="120">
        <v>68</v>
      </c>
      <c r="AB193" s="120">
        <v>14.5</v>
      </c>
      <c r="AC193" s="120">
        <v>192</v>
      </c>
      <c r="AD193" s="120">
        <v>1464</v>
      </c>
      <c r="AE193" s="120">
        <v>-9999</v>
      </c>
      <c r="AF193" s="120">
        <v>-9999</v>
      </c>
      <c r="AG193" s="120">
        <v>-9999</v>
      </c>
      <c r="AQ193" s="59">
        <v>5</v>
      </c>
      <c r="AR193" s="59">
        <v>125</v>
      </c>
      <c r="AS193" s="59">
        <v>60</v>
      </c>
      <c r="AT193" s="59">
        <f>AVERAGEIFS(Compressors!$S:$S,Compressors!$G:$G,AS193,Compressors!$I:$I,AR193,Compressors!$D:$D,AQ193)</f>
        <v>18.200000762939499</v>
      </c>
      <c r="AU193" s="59">
        <v>18.200000762939499</v>
      </c>
      <c r="BB193" s="121">
        <v>100</v>
      </c>
      <c r="BC193" s="121">
        <v>18.299999237060501</v>
      </c>
      <c r="BD193" s="125">
        <v>110</v>
      </c>
      <c r="BE193" s="121"/>
      <c r="BF193" s="122">
        <v>100</v>
      </c>
      <c r="BG193" s="123">
        <v>17.399999618530298</v>
      </c>
      <c r="BH193" s="124">
        <v>115</v>
      </c>
      <c r="BI193" s="121">
        <f>BG193/BC198</f>
        <v>0.88775506529993053</v>
      </c>
      <c r="BJ193" s="121"/>
      <c r="BK193" s="121"/>
      <c r="BL193" s="121"/>
      <c r="BM193" s="121"/>
    </row>
    <row r="194" spans="1:65" x14ac:dyDescent="0.25">
      <c r="A194" s="120">
        <v>193</v>
      </c>
      <c r="B194" s="120" t="b">
        <v>0</v>
      </c>
      <c r="C194" s="120">
        <v>0</v>
      </c>
      <c r="D194" s="61">
        <v>1</v>
      </c>
      <c r="E194" s="120">
        <v>1</v>
      </c>
      <c r="F194" s="120" t="s">
        <v>172</v>
      </c>
      <c r="G194" s="55">
        <v>40</v>
      </c>
      <c r="H194" s="120">
        <v>116</v>
      </c>
      <c r="I194" s="57">
        <v>200</v>
      </c>
      <c r="J194" s="120">
        <v>200</v>
      </c>
      <c r="K194" s="120">
        <v>3</v>
      </c>
      <c r="L194" s="120">
        <v>40</v>
      </c>
      <c r="M194" s="120">
        <v>15</v>
      </c>
      <c r="N194" s="120">
        <v>40</v>
      </c>
      <c r="O194" s="120">
        <v>2</v>
      </c>
      <c r="P194" s="120">
        <v>16.666999816894499</v>
      </c>
      <c r="Q194" s="120">
        <v>44</v>
      </c>
      <c r="R194" s="120">
        <v>36.400001525878899</v>
      </c>
      <c r="S194" s="148">
        <v>31.399999618530298</v>
      </c>
      <c r="T194" s="120">
        <v>57</v>
      </c>
      <c r="U194" s="120">
        <v>13</v>
      </c>
      <c r="V194" s="120">
        <v>-9999</v>
      </c>
      <c r="W194" s="120">
        <v>-9999</v>
      </c>
      <c r="X194" s="120">
        <v>-9999</v>
      </c>
      <c r="Y194" s="120">
        <v>-9999</v>
      </c>
      <c r="Z194" s="120">
        <v>-9999</v>
      </c>
      <c r="AA194" s="120">
        <v>68</v>
      </c>
      <c r="AB194" s="120">
        <v>14.5</v>
      </c>
      <c r="AC194" s="120">
        <v>193</v>
      </c>
      <c r="AD194" s="120">
        <v>1465</v>
      </c>
      <c r="AE194" s="120">
        <v>-9999</v>
      </c>
      <c r="AF194" s="120">
        <v>-9999</v>
      </c>
      <c r="AG194" s="120">
        <v>-9999</v>
      </c>
      <c r="AQ194" s="59">
        <v>6</v>
      </c>
      <c r="AR194" s="59">
        <v>100</v>
      </c>
      <c r="AS194" s="59">
        <v>60</v>
      </c>
      <c r="AT194" s="59" t="e">
        <f>AVERAGEIFS(Compressors!$S:$S,Compressors!$G:$G,AS194,Compressors!$I:$I,AR194,Compressors!$D:$D,AQ194)</f>
        <v>#DIV/0!</v>
      </c>
      <c r="AU194" s="53"/>
      <c r="BB194" s="121">
        <v>100</v>
      </c>
      <c r="BC194" s="121">
        <v>18.299999237060501</v>
      </c>
      <c r="BD194" s="125">
        <v>110</v>
      </c>
      <c r="BE194" s="121"/>
      <c r="BF194" s="122">
        <v>100</v>
      </c>
      <c r="BG194" s="123">
        <v>17.399999618530298</v>
      </c>
      <c r="BH194" s="124">
        <v>115</v>
      </c>
      <c r="BI194" s="121"/>
      <c r="BJ194" s="121"/>
      <c r="BK194" s="121"/>
      <c r="BL194" s="121"/>
      <c r="BM194" s="121"/>
    </row>
    <row r="195" spans="1:65" x14ac:dyDescent="0.25">
      <c r="A195" s="120">
        <v>194</v>
      </c>
      <c r="B195" s="120" t="b">
        <v>0</v>
      </c>
      <c r="C195" s="120">
        <v>0</v>
      </c>
      <c r="D195" s="61">
        <v>1</v>
      </c>
      <c r="E195" s="120">
        <v>1</v>
      </c>
      <c r="F195" s="120" t="s">
        <v>172</v>
      </c>
      <c r="G195" s="55">
        <v>40</v>
      </c>
      <c r="H195" s="120">
        <v>111</v>
      </c>
      <c r="I195" s="57">
        <v>200</v>
      </c>
      <c r="J195" s="120">
        <v>210</v>
      </c>
      <c r="K195" s="120">
        <v>4</v>
      </c>
      <c r="L195" s="120">
        <v>100</v>
      </c>
      <c r="M195" s="120">
        <v>15</v>
      </c>
      <c r="N195" s="120">
        <v>40</v>
      </c>
      <c r="O195" s="120">
        <v>2</v>
      </c>
      <c r="P195" s="120">
        <v>-9999</v>
      </c>
      <c r="Q195" s="120">
        <v>42</v>
      </c>
      <c r="R195" s="120">
        <v>34.700000762939503</v>
      </c>
      <c r="S195" s="148">
        <v>31.399999618530298</v>
      </c>
      <c r="T195" s="120">
        <v>-9999</v>
      </c>
      <c r="U195" s="120">
        <v>13</v>
      </c>
      <c r="V195" s="120">
        <v>-9999</v>
      </c>
      <c r="W195" s="120">
        <v>-9999</v>
      </c>
      <c r="X195" s="120">
        <v>-9999</v>
      </c>
      <c r="Y195" s="120">
        <v>-9999</v>
      </c>
      <c r="Z195" s="120">
        <v>-9999</v>
      </c>
      <c r="AA195" s="120">
        <v>68</v>
      </c>
      <c r="AB195" s="120">
        <v>14.5</v>
      </c>
      <c r="AC195" s="120">
        <v>194</v>
      </c>
      <c r="AD195" s="120">
        <v>1466</v>
      </c>
      <c r="AE195" s="120">
        <v>-9999</v>
      </c>
      <c r="AF195" s="120">
        <v>-9999</v>
      </c>
      <c r="AG195" s="120">
        <v>-9999</v>
      </c>
      <c r="AQ195" s="59">
        <v>6</v>
      </c>
      <c r="AR195" s="59">
        <v>110</v>
      </c>
      <c r="AS195" s="59">
        <v>60</v>
      </c>
      <c r="AT195" s="59" t="e">
        <f>AVERAGEIFS(Compressors!$S:$S,Compressors!$G:$G,AS195,Compressors!$I:$I,AR195,Compressors!$D:$D,AQ195)</f>
        <v>#DIV/0!</v>
      </c>
      <c r="AU195" s="53"/>
      <c r="BB195" s="121">
        <v>100</v>
      </c>
      <c r="BC195" s="121">
        <v>18.299999237060501</v>
      </c>
      <c r="BD195" s="125">
        <v>110</v>
      </c>
      <c r="BE195" s="121"/>
      <c r="BF195" s="122">
        <v>100</v>
      </c>
      <c r="BG195" s="123">
        <v>17.399999618530298</v>
      </c>
      <c r="BH195" s="124">
        <v>115</v>
      </c>
      <c r="BI195" s="121"/>
      <c r="BJ195" s="121"/>
      <c r="BK195" s="121"/>
      <c r="BL195" s="121"/>
      <c r="BM195" s="121"/>
    </row>
    <row r="196" spans="1:65" x14ac:dyDescent="0.25">
      <c r="A196" s="120">
        <v>195</v>
      </c>
      <c r="B196" s="120" t="b">
        <v>0</v>
      </c>
      <c r="C196" s="120">
        <v>0</v>
      </c>
      <c r="D196" s="61">
        <v>1</v>
      </c>
      <c r="E196" s="120">
        <v>1</v>
      </c>
      <c r="F196" s="120" t="s">
        <v>172</v>
      </c>
      <c r="G196" s="55">
        <v>40</v>
      </c>
      <c r="H196" s="120">
        <v>111</v>
      </c>
      <c r="I196" s="57">
        <v>200</v>
      </c>
      <c r="J196" s="120">
        <v>210</v>
      </c>
      <c r="K196" s="120">
        <v>11</v>
      </c>
      <c r="L196" s="120">
        <v>60</v>
      </c>
      <c r="M196" s="120">
        <v>15</v>
      </c>
      <c r="N196" s="120">
        <v>40</v>
      </c>
      <c r="O196" s="120">
        <v>2</v>
      </c>
      <c r="P196" s="120">
        <v>25</v>
      </c>
      <c r="Q196" s="120">
        <v>42</v>
      </c>
      <c r="R196" s="120">
        <v>34.700000762939503</v>
      </c>
      <c r="S196" s="148">
        <v>31.399999618530298</v>
      </c>
      <c r="T196" s="120">
        <v>70</v>
      </c>
      <c r="U196" s="120">
        <v>13</v>
      </c>
      <c r="V196" s="120">
        <v>-9999</v>
      </c>
      <c r="W196" s="120">
        <v>-9999</v>
      </c>
      <c r="X196" s="120">
        <v>-9999</v>
      </c>
      <c r="Y196" s="120">
        <v>-9999</v>
      </c>
      <c r="Z196" s="120">
        <v>-9999</v>
      </c>
      <c r="AA196" s="120">
        <v>68</v>
      </c>
      <c r="AB196" s="120">
        <v>14.5</v>
      </c>
      <c r="AC196" s="120">
        <v>195</v>
      </c>
      <c r="AD196" s="120">
        <v>1467</v>
      </c>
      <c r="AE196" s="120">
        <v>-9999</v>
      </c>
      <c r="AF196" s="120">
        <v>-9999</v>
      </c>
      <c r="AG196" s="120">
        <v>-9999</v>
      </c>
      <c r="AQ196" s="59">
        <v>6</v>
      </c>
      <c r="AR196" s="59">
        <v>115</v>
      </c>
      <c r="AS196" s="59">
        <v>60</v>
      </c>
      <c r="AT196" s="59" t="e">
        <f>AVERAGEIFS(Compressors!$S:$S,Compressors!$G:$G,AS196,Compressors!$I:$I,AR196,Compressors!$D:$D,AQ196)</f>
        <v>#DIV/0!</v>
      </c>
      <c r="AU196" s="53"/>
      <c r="BB196" s="121">
        <v>100</v>
      </c>
      <c r="BC196" s="121">
        <v>18.299999237060501</v>
      </c>
      <c r="BD196" s="125">
        <v>110</v>
      </c>
      <c r="BE196" s="121"/>
      <c r="BF196" s="122">
        <v>100</v>
      </c>
      <c r="BG196" s="123">
        <v>17.399999618530298</v>
      </c>
      <c r="BH196" s="124">
        <v>115</v>
      </c>
      <c r="BI196" s="121"/>
      <c r="BJ196" s="121"/>
      <c r="BK196" s="121"/>
      <c r="BL196" s="121"/>
      <c r="BM196" s="121"/>
    </row>
    <row r="197" spans="1:65" x14ac:dyDescent="0.25">
      <c r="A197" s="120">
        <v>196</v>
      </c>
      <c r="B197" s="120" t="b">
        <v>0</v>
      </c>
      <c r="C197" s="120">
        <v>0</v>
      </c>
      <c r="D197" s="61">
        <v>1</v>
      </c>
      <c r="E197" s="120">
        <v>1</v>
      </c>
      <c r="F197" s="120" t="s">
        <v>173</v>
      </c>
      <c r="G197" s="55">
        <v>50</v>
      </c>
      <c r="H197" s="120">
        <v>226</v>
      </c>
      <c r="I197" s="57">
        <v>100</v>
      </c>
      <c r="J197" s="120">
        <v>110</v>
      </c>
      <c r="K197" s="120">
        <v>1</v>
      </c>
      <c r="L197" s="120">
        <v>50</v>
      </c>
      <c r="M197" s="120">
        <v>15</v>
      </c>
      <c r="N197" s="120">
        <v>40</v>
      </c>
      <c r="O197" s="120">
        <v>2</v>
      </c>
      <c r="P197" s="120">
        <v>5</v>
      </c>
      <c r="Q197" s="120">
        <v>52.5</v>
      </c>
      <c r="R197" s="120">
        <v>42.700000762939503</v>
      </c>
      <c r="S197" s="148">
        <v>18.899999618530298</v>
      </c>
      <c r="T197" s="120">
        <v>65</v>
      </c>
      <c r="U197" s="120">
        <v>19</v>
      </c>
      <c r="V197" s="120">
        <v>-9999</v>
      </c>
      <c r="W197" s="120">
        <v>-9999</v>
      </c>
      <c r="X197" s="120">
        <v>-9999</v>
      </c>
      <c r="Y197" s="120">
        <v>-9999</v>
      </c>
      <c r="Z197" s="120">
        <v>-9999</v>
      </c>
      <c r="AA197" s="120">
        <v>68</v>
      </c>
      <c r="AB197" s="120">
        <v>14.5</v>
      </c>
      <c r="AC197" s="120">
        <v>196</v>
      </c>
      <c r="AD197" s="120">
        <v>1468</v>
      </c>
      <c r="AE197" s="120">
        <v>-9999</v>
      </c>
      <c r="AF197" s="120">
        <v>-9999</v>
      </c>
      <c r="AG197" s="120">
        <v>-9999</v>
      </c>
      <c r="AQ197" s="59">
        <v>6</v>
      </c>
      <c r="AR197" s="59">
        <v>125</v>
      </c>
      <c r="AS197" s="59">
        <v>60</v>
      </c>
      <c r="AT197" s="59" t="e">
        <f>AVERAGEIFS(Compressors!$S:$S,Compressors!$G:$G,AS197,Compressors!$I:$I,AR197,Compressors!$D:$D,AQ197)</f>
        <v>#DIV/0!</v>
      </c>
      <c r="AU197" s="53"/>
      <c r="BB197" s="121">
        <v>100</v>
      </c>
      <c r="BC197" s="121">
        <v>18.299999237060501</v>
      </c>
      <c r="BD197" s="125">
        <v>110</v>
      </c>
      <c r="BE197" s="121"/>
      <c r="BF197" s="122">
        <v>100</v>
      </c>
      <c r="BG197" s="123">
        <v>17.399999618530298</v>
      </c>
      <c r="BH197" s="124">
        <v>115</v>
      </c>
      <c r="BI197" s="121"/>
      <c r="BJ197" s="121"/>
      <c r="BK197" s="121"/>
      <c r="BL197" s="121"/>
      <c r="BM197" s="121"/>
    </row>
    <row r="198" spans="1:65" x14ac:dyDescent="0.25">
      <c r="A198" s="120">
        <v>197</v>
      </c>
      <c r="B198" s="120" t="b">
        <v>0</v>
      </c>
      <c r="C198" s="120">
        <v>0</v>
      </c>
      <c r="D198" s="61">
        <v>1</v>
      </c>
      <c r="E198" s="120">
        <v>1</v>
      </c>
      <c r="F198" s="120" t="s">
        <v>173</v>
      </c>
      <c r="G198" s="55">
        <v>50</v>
      </c>
      <c r="H198" s="120">
        <v>237</v>
      </c>
      <c r="I198" s="57">
        <v>100</v>
      </c>
      <c r="J198" s="120">
        <v>100</v>
      </c>
      <c r="K198" s="120">
        <v>2</v>
      </c>
      <c r="L198" s="120">
        <v>50</v>
      </c>
      <c r="M198" s="120">
        <v>15</v>
      </c>
      <c r="N198" s="120">
        <v>40</v>
      </c>
      <c r="O198" s="120">
        <v>2</v>
      </c>
      <c r="P198" s="120">
        <v>20</v>
      </c>
      <c r="Q198" s="120">
        <v>55</v>
      </c>
      <c r="R198" s="120">
        <v>44.700000762939503</v>
      </c>
      <c r="S198" s="148">
        <v>18.899999618530298</v>
      </c>
      <c r="T198" s="120">
        <v>65</v>
      </c>
      <c r="U198" s="120">
        <v>19</v>
      </c>
      <c r="V198" s="120">
        <v>-9999</v>
      </c>
      <c r="W198" s="120">
        <v>-9999</v>
      </c>
      <c r="X198" s="120">
        <v>-9999</v>
      </c>
      <c r="Y198" s="120">
        <v>-9999</v>
      </c>
      <c r="Z198" s="120">
        <v>-9999</v>
      </c>
      <c r="AA198" s="120">
        <v>68</v>
      </c>
      <c r="AB198" s="120">
        <v>14.5</v>
      </c>
      <c r="AC198" s="120">
        <v>197</v>
      </c>
      <c r="AD198" s="120">
        <v>1469</v>
      </c>
      <c r="AE198" s="120">
        <v>-9999</v>
      </c>
      <c r="AF198" s="120">
        <v>-9999</v>
      </c>
      <c r="AG198" s="120">
        <v>-9999</v>
      </c>
      <c r="AQ198" s="60">
        <v>1</v>
      </c>
      <c r="AR198" s="60">
        <v>100</v>
      </c>
      <c r="AS198" s="60">
        <v>75</v>
      </c>
      <c r="AT198" s="60">
        <f>AVERAGEIFS(Compressors!$S:$S,Compressors!$G:$G,AS198,Compressors!$I:$I,AR198,Compressors!$D:$D,AQ198)</f>
        <v>17.5</v>
      </c>
      <c r="AU198" s="60">
        <v>17.5</v>
      </c>
      <c r="BB198" s="121">
        <v>100</v>
      </c>
      <c r="BC198" s="121">
        <v>19.600000381469702</v>
      </c>
      <c r="BD198" s="125">
        <v>115</v>
      </c>
      <c r="BE198" s="121"/>
      <c r="BF198" s="122">
        <v>100</v>
      </c>
      <c r="BG198" s="123">
        <v>17.799999237060501</v>
      </c>
      <c r="BH198" s="124">
        <v>125</v>
      </c>
      <c r="BI198" s="121">
        <f>BG198/BC203</f>
        <v>0.86829264571026832</v>
      </c>
      <c r="BJ198" s="121"/>
      <c r="BK198" s="121"/>
      <c r="BL198" s="121"/>
      <c r="BM198" s="121"/>
    </row>
    <row r="199" spans="1:65" x14ac:dyDescent="0.25">
      <c r="A199" s="120">
        <v>198</v>
      </c>
      <c r="B199" s="120" t="b">
        <v>0</v>
      </c>
      <c r="C199" s="120">
        <v>0</v>
      </c>
      <c r="D199" s="61">
        <v>1</v>
      </c>
      <c r="E199" s="120">
        <v>1</v>
      </c>
      <c r="F199" s="120" t="s">
        <v>173</v>
      </c>
      <c r="G199" s="55">
        <v>50</v>
      </c>
      <c r="H199" s="120">
        <v>237</v>
      </c>
      <c r="I199" s="57">
        <v>100</v>
      </c>
      <c r="J199" s="120">
        <v>100</v>
      </c>
      <c r="K199" s="120">
        <v>3</v>
      </c>
      <c r="L199" s="120">
        <v>40</v>
      </c>
      <c r="M199" s="120">
        <v>15</v>
      </c>
      <c r="N199" s="120">
        <v>40</v>
      </c>
      <c r="O199" s="120">
        <v>2</v>
      </c>
      <c r="P199" s="120">
        <v>16.666999816894499</v>
      </c>
      <c r="Q199" s="120">
        <v>55</v>
      </c>
      <c r="R199" s="120">
        <v>44.700000762939503</v>
      </c>
      <c r="S199" s="148">
        <v>18.899999618530298</v>
      </c>
      <c r="T199" s="120">
        <v>57</v>
      </c>
      <c r="U199" s="120">
        <v>19</v>
      </c>
      <c r="V199" s="120">
        <v>-9999</v>
      </c>
      <c r="W199" s="120">
        <v>-9999</v>
      </c>
      <c r="X199" s="120">
        <v>-9999</v>
      </c>
      <c r="Y199" s="120">
        <v>-9999</v>
      </c>
      <c r="Z199" s="120">
        <v>-9999</v>
      </c>
      <c r="AA199" s="120">
        <v>68</v>
      </c>
      <c r="AB199" s="120">
        <v>14.5</v>
      </c>
      <c r="AC199" s="120">
        <v>198</v>
      </c>
      <c r="AD199" s="120">
        <v>1470</v>
      </c>
      <c r="AE199" s="120">
        <v>-9999</v>
      </c>
      <c r="AF199" s="120">
        <v>-9999</v>
      </c>
      <c r="AG199" s="120">
        <v>-9999</v>
      </c>
      <c r="AQ199" s="60">
        <v>1</v>
      </c>
      <c r="AR199" s="60">
        <v>110</v>
      </c>
      <c r="AS199" s="60">
        <v>75</v>
      </c>
      <c r="AT199" s="60">
        <f>AVERAGEIFS(Compressors!$S:$S,Compressors!$G:$G,AS199,Compressors!$I:$I,AR199,Compressors!$D:$D,AQ199)</f>
        <v>18</v>
      </c>
      <c r="AU199" s="60">
        <v>18</v>
      </c>
      <c r="BB199" s="121">
        <v>100</v>
      </c>
      <c r="BC199" s="121">
        <v>19.600000381469702</v>
      </c>
      <c r="BD199" s="125">
        <v>115</v>
      </c>
      <c r="BE199" s="121"/>
      <c r="BF199" s="122">
        <v>100</v>
      </c>
      <c r="BG199" s="123">
        <v>17.799999237060501</v>
      </c>
      <c r="BH199" s="124">
        <v>125</v>
      </c>
      <c r="BI199" s="121"/>
      <c r="BJ199" s="121"/>
      <c r="BK199" s="121"/>
      <c r="BL199" s="121"/>
      <c r="BM199" s="121"/>
    </row>
    <row r="200" spans="1:65" x14ac:dyDescent="0.25">
      <c r="A200" s="120">
        <v>199</v>
      </c>
      <c r="B200" s="120" t="b">
        <v>0</v>
      </c>
      <c r="C200" s="120">
        <v>0</v>
      </c>
      <c r="D200" s="61">
        <v>1</v>
      </c>
      <c r="E200" s="120">
        <v>1</v>
      </c>
      <c r="F200" s="120" t="s">
        <v>173</v>
      </c>
      <c r="G200" s="55">
        <v>50</v>
      </c>
      <c r="H200" s="120">
        <v>226</v>
      </c>
      <c r="I200" s="57">
        <v>100</v>
      </c>
      <c r="J200" s="120">
        <v>110</v>
      </c>
      <c r="K200" s="120">
        <v>4</v>
      </c>
      <c r="L200" s="120">
        <v>100</v>
      </c>
      <c r="M200" s="120">
        <v>15</v>
      </c>
      <c r="N200" s="120">
        <v>40</v>
      </c>
      <c r="O200" s="120">
        <v>2</v>
      </c>
      <c r="P200" s="120">
        <v>-9999</v>
      </c>
      <c r="Q200" s="120">
        <v>52.5</v>
      </c>
      <c r="R200" s="120">
        <v>42.700000762939503</v>
      </c>
      <c r="S200" s="148">
        <v>18.899999618530298</v>
      </c>
      <c r="T200" s="120">
        <v>-9999</v>
      </c>
      <c r="U200" s="120">
        <v>19</v>
      </c>
      <c r="V200" s="120">
        <v>-9999</v>
      </c>
      <c r="W200" s="120">
        <v>-9999</v>
      </c>
      <c r="X200" s="120">
        <v>-9999</v>
      </c>
      <c r="Y200" s="120">
        <v>-9999</v>
      </c>
      <c r="Z200" s="120">
        <v>-9999</v>
      </c>
      <c r="AA200" s="120">
        <v>68</v>
      </c>
      <c r="AB200" s="120">
        <v>14.5</v>
      </c>
      <c r="AC200" s="120">
        <v>199</v>
      </c>
      <c r="AD200" s="120">
        <v>1471</v>
      </c>
      <c r="AE200" s="120">
        <v>-9999</v>
      </c>
      <c r="AF200" s="120">
        <v>-9999</v>
      </c>
      <c r="AG200" s="120">
        <v>-9999</v>
      </c>
      <c r="AQ200" s="60">
        <v>1</v>
      </c>
      <c r="AR200" s="60">
        <v>115</v>
      </c>
      <c r="AS200" s="60">
        <v>75</v>
      </c>
      <c r="AT200" s="60">
        <f>AVERAGEIFS(Compressors!$S:$S,Compressors!$G:$G,AS200,Compressors!$I:$I,AR200,Compressors!$D:$D,AQ200)</f>
        <v>19.399999618530298</v>
      </c>
      <c r="AU200" s="60">
        <v>19.399999999999999</v>
      </c>
      <c r="BB200" s="121">
        <v>100</v>
      </c>
      <c r="BC200" s="121">
        <v>19.600000381469702</v>
      </c>
      <c r="BD200" s="125">
        <v>115</v>
      </c>
      <c r="BE200" s="121"/>
      <c r="BF200" s="122">
        <v>100</v>
      </c>
      <c r="BG200" s="123">
        <v>17.799999237060501</v>
      </c>
      <c r="BH200" s="124">
        <v>125</v>
      </c>
      <c r="BI200" s="121"/>
      <c r="BJ200" s="121"/>
      <c r="BK200" s="121"/>
      <c r="BL200" s="121"/>
      <c r="BM200" s="121"/>
    </row>
    <row r="201" spans="1:65" x14ac:dyDescent="0.25">
      <c r="A201" s="120">
        <v>200</v>
      </c>
      <c r="B201" s="120" t="b">
        <v>0</v>
      </c>
      <c r="C201" s="120">
        <v>0</v>
      </c>
      <c r="D201" s="61">
        <v>1</v>
      </c>
      <c r="E201" s="120">
        <v>1</v>
      </c>
      <c r="F201" s="120" t="s">
        <v>173</v>
      </c>
      <c r="G201" s="55">
        <v>50</v>
      </c>
      <c r="H201" s="120">
        <v>226</v>
      </c>
      <c r="I201" s="57">
        <v>100</v>
      </c>
      <c r="J201" s="120">
        <v>110</v>
      </c>
      <c r="K201" s="120">
        <v>11</v>
      </c>
      <c r="L201" s="120">
        <v>60</v>
      </c>
      <c r="M201" s="120">
        <v>15</v>
      </c>
      <c r="N201" s="120">
        <v>40</v>
      </c>
      <c r="O201" s="120">
        <v>2</v>
      </c>
      <c r="P201" s="120">
        <v>25</v>
      </c>
      <c r="Q201" s="120">
        <v>52.5</v>
      </c>
      <c r="R201" s="120">
        <v>42.700000762939503</v>
      </c>
      <c r="S201" s="148">
        <v>18.899999618530298</v>
      </c>
      <c r="T201" s="120">
        <v>70</v>
      </c>
      <c r="U201" s="120">
        <v>19</v>
      </c>
      <c r="V201" s="120">
        <v>-9999</v>
      </c>
      <c r="W201" s="120">
        <v>-9999</v>
      </c>
      <c r="X201" s="120">
        <v>-9999</v>
      </c>
      <c r="Y201" s="120">
        <v>-9999</v>
      </c>
      <c r="Z201" s="120">
        <v>-9999</v>
      </c>
      <c r="AA201" s="120">
        <v>68</v>
      </c>
      <c r="AB201" s="120">
        <v>14.5</v>
      </c>
      <c r="AC201" s="120">
        <v>200</v>
      </c>
      <c r="AD201" s="120">
        <v>1472</v>
      </c>
      <c r="AE201" s="120">
        <v>-9999</v>
      </c>
      <c r="AF201" s="120">
        <v>-9999</v>
      </c>
      <c r="AG201" s="120">
        <v>-9999</v>
      </c>
      <c r="AQ201" s="60">
        <v>1</v>
      </c>
      <c r="AR201" s="60">
        <v>125</v>
      </c>
      <c r="AS201" s="60">
        <v>75</v>
      </c>
      <c r="AT201" s="60">
        <f>AVERAGEIFS(Compressors!$S:$S,Compressors!$G:$G,AS201,Compressors!$I:$I,AR201,Compressors!$D:$D,AQ201)</f>
        <v>20.600000381469702</v>
      </c>
      <c r="AU201" s="60">
        <v>20.6</v>
      </c>
      <c r="BB201" s="121">
        <v>100</v>
      </c>
      <c r="BC201" s="121">
        <v>19.600000381469702</v>
      </c>
      <c r="BD201" s="125">
        <v>115</v>
      </c>
      <c r="BE201" s="121"/>
      <c r="BF201" s="122">
        <v>100</v>
      </c>
      <c r="BG201" s="123">
        <v>17.799999237060501</v>
      </c>
      <c r="BH201" s="124">
        <v>125</v>
      </c>
      <c r="BI201" s="121"/>
      <c r="BJ201" s="121"/>
      <c r="BK201" s="121"/>
      <c r="BL201" s="121"/>
      <c r="BM201" s="121"/>
    </row>
    <row r="202" spans="1:65" x14ac:dyDescent="0.25">
      <c r="A202" s="120">
        <v>201</v>
      </c>
      <c r="B202" s="120" t="b">
        <v>0</v>
      </c>
      <c r="C202" s="120">
        <v>0</v>
      </c>
      <c r="D202" s="61">
        <v>1</v>
      </c>
      <c r="E202" s="120">
        <v>1</v>
      </c>
      <c r="F202" s="120" t="s">
        <v>173</v>
      </c>
      <c r="G202" s="55">
        <v>50</v>
      </c>
      <c r="H202" s="120">
        <v>229</v>
      </c>
      <c r="I202" s="57">
        <v>110</v>
      </c>
      <c r="J202" s="120">
        <v>120</v>
      </c>
      <c r="K202" s="120">
        <v>1</v>
      </c>
      <c r="L202" s="120">
        <v>50</v>
      </c>
      <c r="M202" s="120">
        <v>15</v>
      </c>
      <c r="N202" s="120">
        <v>40</v>
      </c>
      <c r="O202" s="120">
        <v>2</v>
      </c>
      <c r="P202" s="120">
        <v>5</v>
      </c>
      <c r="Q202" s="120">
        <v>52.5</v>
      </c>
      <c r="R202" s="120">
        <v>42.700000762939503</v>
      </c>
      <c r="S202" s="148">
        <v>18.600000381469702</v>
      </c>
      <c r="T202" s="120">
        <v>65</v>
      </c>
      <c r="U202" s="120">
        <v>18</v>
      </c>
      <c r="V202" s="120">
        <v>-9999</v>
      </c>
      <c r="W202" s="120">
        <v>-9999</v>
      </c>
      <c r="X202" s="120">
        <v>-9999</v>
      </c>
      <c r="Y202" s="120">
        <v>-9999</v>
      </c>
      <c r="Z202" s="120">
        <v>-9999</v>
      </c>
      <c r="AA202" s="120">
        <v>68</v>
      </c>
      <c r="AB202" s="120">
        <v>14.5</v>
      </c>
      <c r="AC202" s="120">
        <v>201</v>
      </c>
      <c r="AD202" s="120">
        <v>1473</v>
      </c>
      <c r="AE202" s="120">
        <v>-9999</v>
      </c>
      <c r="AF202" s="120">
        <v>-9999</v>
      </c>
      <c r="AG202" s="120">
        <v>-9999</v>
      </c>
      <c r="AQ202" s="60">
        <v>2</v>
      </c>
      <c r="AR202" s="60">
        <v>100</v>
      </c>
      <c r="AS202" s="60">
        <v>75</v>
      </c>
      <c r="AT202" s="60" t="e">
        <f>AVERAGEIFS(Compressors!$S:$S,Compressors!$G:$G,AS202,Compressors!$I:$I,AR202,Compressors!$D:$D,AQ202)</f>
        <v>#DIV/0!</v>
      </c>
      <c r="AU202" s="53">
        <f>AU198*0.9</f>
        <v>15.75</v>
      </c>
      <c r="BB202" s="121">
        <v>100</v>
      </c>
      <c r="BC202" s="121">
        <v>19.600000381469702</v>
      </c>
      <c r="BD202" s="125">
        <v>115</v>
      </c>
      <c r="BE202" s="121"/>
      <c r="BF202" s="122">
        <v>100</v>
      </c>
      <c r="BG202" s="123">
        <v>17.799999237060501</v>
      </c>
      <c r="BH202" s="124">
        <v>125</v>
      </c>
      <c r="BI202" s="121"/>
      <c r="BJ202" s="121"/>
      <c r="BK202" s="121"/>
      <c r="BL202" s="121"/>
      <c r="BM202" s="121"/>
    </row>
    <row r="203" spans="1:65" x14ac:dyDescent="0.25">
      <c r="A203" s="120">
        <v>202</v>
      </c>
      <c r="B203" s="120" t="b">
        <v>0</v>
      </c>
      <c r="C203" s="120">
        <v>0</v>
      </c>
      <c r="D203" s="61">
        <v>1</v>
      </c>
      <c r="E203" s="120">
        <v>1</v>
      </c>
      <c r="F203" s="120" t="s">
        <v>173</v>
      </c>
      <c r="G203" s="55">
        <v>50</v>
      </c>
      <c r="H203" s="120">
        <v>240</v>
      </c>
      <c r="I203" s="57">
        <v>110</v>
      </c>
      <c r="J203" s="120">
        <v>110</v>
      </c>
      <c r="K203" s="120">
        <v>2</v>
      </c>
      <c r="L203" s="120">
        <v>50</v>
      </c>
      <c r="M203" s="120">
        <v>15</v>
      </c>
      <c r="N203" s="120">
        <v>40</v>
      </c>
      <c r="O203" s="120">
        <v>2</v>
      </c>
      <c r="P203" s="120">
        <v>20</v>
      </c>
      <c r="Q203" s="120">
        <v>55</v>
      </c>
      <c r="R203" s="120">
        <v>44.700000762939503</v>
      </c>
      <c r="S203" s="148">
        <v>18.600000381469702</v>
      </c>
      <c r="T203" s="120">
        <v>65</v>
      </c>
      <c r="U203" s="120">
        <v>18</v>
      </c>
      <c r="V203" s="120">
        <v>-9999</v>
      </c>
      <c r="W203" s="120">
        <v>-9999</v>
      </c>
      <c r="X203" s="120">
        <v>-9999</v>
      </c>
      <c r="Y203" s="120">
        <v>-9999</v>
      </c>
      <c r="Z203" s="120">
        <v>-9999</v>
      </c>
      <c r="AA203" s="120">
        <v>68</v>
      </c>
      <c r="AB203" s="120">
        <v>14.5</v>
      </c>
      <c r="AC203" s="120">
        <v>202</v>
      </c>
      <c r="AD203" s="120">
        <v>1474</v>
      </c>
      <c r="AE203" s="120">
        <v>-9999</v>
      </c>
      <c r="AF203" s="120">
        <v>-9999</v>
      </c>
      <c r="AG203" s="120">
        <v>-9999</v>
      </c>
      <c r="AQ203" s="60">
        <v>2</v>
      </c>
      <c r="AR203" s="60">
        <v>110</v>
      </c>
      <c r="AS203" s="60">
        <v>75</v>
      </c>
      <c r="AT203" s="60" t="e">
        <f>AVERAGEIFS(Compressors!$S:$S,Compressors!$G:$G,AS203,Compressors!$I:$I,AR203,Compressors!$D:$D,AQ203)</f>
        <v>#DIV/0!</v>
      </c>
      <c r="AU203" s="53">
        <f>AU199*0.9</f>
        <v>16.2</v>
      </c>
      <c r="BB203" s="121">
        <v>100</v>
      </c>
      <c r="BC203" s="121">
        <v>20.5</v>
      </c>
      <c r="BD203" s="125">
        <v>125</v>
      </c>
      <c r="BE203" s="121"/>
      <c r="BF203" s="122">
        <v>125</v>
      </c>
      <c r="BG203" s="123">
        <v>16.100000381469702</v>
      </c>
      <c r="BH203" s="124">
        <v>100</v>
      </c>
      <c r="BI203" s="121">
        <f>BG203/BC210</f>
        <v>0.83854165321422669</v>
      </c>
      <c r="BJ203" s="121"/>
      <c r="BK203" s="121"/>
      <c r="BL203" s="121"/>
      <c r="BM203" s="121"/>
    </row>
    <row r="204" spans="1:65" x14ac:dyDescent="0.25">
      <c r="A204" s="120">
        <v>203</v>
      </c>
      <c r="B204" s="120" t="b">
        <v>0</v>
      </c>
      <c r="C204" s="120">
        <v>0</v>
      </c>
      <c r="D204" s="61">
        <v>1</v>
      </c>
      <c r="E204" s="120">
        <v>1</v>
      </c>
      <c r="F204" s="120" t="s">
        <v>173</v>
      </c>
      <c r="G204" s="55">
        <v>50</v>
      </c>
      <c r="H204" s="120">
        <v>240</v>
      </c>
      <c r="I204" s="57">
        <v>110</v>
      </c>
      <c r="J204" s="120">
        <v>110</v>
      </c>
      <c r="K204" s="120">
        <v>3</v>
      </c>
      <c r="L204" s="120">
        <v>40</v>
      </c>
      <c r="M204" s="120">
        <v>15</v>
      </c>
      <c r="N204" s="120">
        <v>40</v>
      </c>
      <c r="O204" s="120">
        <v>2</v>
      </c>
      <c r="P204" s="120">
        <v>16.666999816894499</v>
      </c>
      <c r="Q204" s="120">
        <v>55</v>
      </c>
      <c r="R204" s="120">
        <v>44.700000762939503</v>
      </c>
      <c r="S204" s="148">
        <v>18.600000381469702</v>
      </c>
      <c r="T204" s="120">
        <v>57</v>
      </c>
      <c r="U204" s="120">
        <v>18</v>
      </c>
      <c r="V204" s="120">
        <v>-9999</v>
      </c>
      <c r="W204" s="120">
        <v>-9999</v>
      </c>
      <c r="X204" s="120">
        <v>-9999</v>
      </c>
      <c r="Y204" s="120">
        <v>-9999</v>
      </c>
      <c r="Z204" s="120">
        <v>-9999</v>
      </c>
      <c r="AA204" s="120">
        <v>68</v>
      </c>
      <c r="AB204" s="120">
        <v>14.5</v>
      </c>
      <c r="AC204" s="120">
        <v>203</v>
      </c>
      <c r="AD204" s="120">
        <v>1475</v>
      </c>
      <c r="AE204" s="120">
        <v>-9999</v>
      </c>
      <c r="AF204" s="120">
        <v>-9999</v>
      </c>
      <c r="AG204" s="120">
        <v>-9999</v>
      </c>
      <c r="AQ204" s="60">
        <v>2</v>
      </c>
      <c r="AR204" s="60">
        <v>115</v>
      </c>
      <c r="AS204" s="60">
        <v>75</v>
      </c>
      <c r="AT204" s="60" t="e">
        <f>AVERAGEIFS(Compressors!$S:$S,Compressors!$G:$G,AS204,Compressors!$I:$I,AR204,Compressors!$D:$D,AQ204)</f>
        <v>#DIV/0!</v>
      </c>
      <c r="AU204" s="53">
        <f>AU200*0.9</f>
        <v>17.46</v>
      </c>
      <c r="BB204" s="121">
        <v>100</v>
      </c>
      <c r="BC204" s="121">
        <v>20.5</v>
      </c>
      <c r="BD204" s="125">
        <v>125</v>
      </c>
      <c r="BE204" s="121"/>
      <c r="BF204" s="122">
        <v>125</v>
      </c>
      <c r="BG204" s="123">
        <v>16.100000381469702</v>
      </c>
      <c r="BH204" s="124">
        <v>100</v>
      </c>
      <c r="BI204" s="121"/>
      <c r="BJ204" s="121"/>
      <c r="BK204" s="121"/>
      <c r="BL204" s="121"/>
      <c r="BM204" s="121"/>
    </row>
    <row r="205" spans="1:65" x14ac:dyDescent="0.25">
      <c r="A205" s="120">
        <v>204</v>
      </c>
      <c r="B205" s="120" t="b">
        <v>0</v>
      </c>
      <c r="C205" s="120">
        <v>0</v>
      </c>
      <c r="D205" s="61">
        <v>1</v>
      </c>
      <c r="E205" s="120">
        <v>1</v>
      </c>
      <c r="F205" s="120" t="s">
        <v>173</v>
      </c>
      <c r="G205" s="55">
        <v>50</v>
      </c>
      <c r="H205" s="120">
        <v>229</v>
      </c>
      <c r="I205" s="57">
        <v>110</v>
      </c>
      <c r="J205" s="120">
        <v>120</v>
      </c>
      <c r="K205" s="120">
        <v>4</v>
      </c>
      <c r="L205" s="120">
        <v>100</v>
      </c>
      <c r="M205" s="120">
        <v>15</v>
      </c>
      <c r="N205" s="120">
        <v>40</v>
      </c>
      <c r="O205" s="120">
        <v>2</v>
      </c>
      <c r="P205" s="120">
        <v>-9999</v>
      </c>
      <c r="Q205" s="120">
        <v>52.5</v>
      </c>
      <c r="R205" s="120">
        <v>42.700000762939503</v>
      </c>
      <c r="S205" s="148">
        <v>18.600000381469702</v>
      </c>
      <c r="T205" s="120">
        <v>-9999</v>
      </c>
      <c r="U205" s="120">
        <v>18</v>
      </c>
      <c r="V205" s="120">
        <v>-9999</v>
      </c>
      <c r="W205" s="120">
        <v>-9999</v>
      </c>
      <c r="X205" s="120">
        <v>-9999</v>
      </c>
      <c r="Y205" s="120">
        <v>-9999</v>
      </c>
      <c r="Z205" s="120">
        <v>-9999</v>
      </c>
      <c r="AA205" s="120">
        <v>68</v>
      </c>
      <c r="AB205" s="120">
        <v>14.5</v>
      </c>
      <c r="AC205" s="120">
        <v>204</v>
      </c>
      <c r="AD205" s="120">
        <v>1476</v>
      </c>
      <c r="AE205" s="120">
        <v>-9999</v>
      </c>
      <c r="AF205" s="120">
        <v>-9999</v>
      </c>
      <c r="AG205" s="120">
        <v>-9999</v>
      </c>
      <c r="AQ205" s="60">
        <v>2</v>
      </c>
      <c r="AR205" s="60">
        <v>125</v>
      </c>
      <c r="AS205" s="60">
        <v>75</v>
      </c>
      <c r="AT205" s="60" t="e">
        <f>AVERAGEIFS(Compressors!$S:$S,Compressors!$G:$G,AS205,Compressors!$I:$I,AR205,Compressors!$D:$D,AQ205)</f>
        <v>#DIV/0!</v>
      </c>
      <c r="AU205" s="53">
        <f>AU201*0.9</f>
        <v>18.540000000000003</v>
      </c>
      <c r="BB205" s="121">
        <v>100</v>
      </c>
      <c r="BC205" s="121">
        <v>20.5</v>
      </c>
      <c r="BD205" s="125">
        <v>125</v>
      </c>
      <c r="BE205" s="121"/>
      <c r="BF205" s="122">
        <v>125</v>
      </c>
      <c r="BG205" s="123">
        <v>16.100000381469702</v>
      </c>
      <c r="BH205" s="124">
        <v>100</v>
      </c>
      <c r="BI205" s="121"/>
      <c r="BJ205" s="121"/>
      <c r="BK205" s="121"/>
      <c r="BL205" s="121"/>
      <c r="BM205" s="121"/>
    </row>
    <row r="206" spans="1:65" x14ac:dyDescent="0.25">
      <c r="A206" s="120">
        <v>205</v>
      </c>
      <c r="B206" s="120" t="b">
        <v>0</v>
      </c>
      <c r="C206" s="120">
        <v>0</v>
      </c>
      <c r="D206" s="61">
        <v>1</v>
      </c>
      <c r="E206" s="120">
        <v>1</v>
      </c>
      <c r="F206" s="120" t="s">
        <v>173</v>
      </c>
      <c r="G206" s="55">
        <v>50</v>
      </c>
      <c r="H206" s="120">
        <v>229</v>
      </c>
      <c r="I206" s="57">
        <v>110</v>
      </c>
      <c r="J206" s="120">
        <v>120</v>
      </c>
      <c r="K206" s="120">
        <v>11</v>
      </c>
      <c r="L206" s="120">
        <v>60</v>
      </c>
      <c r="M206" s="120">
        <v>15</v>
      </c>
      <c r="N206" s="120">
        <v>40</v>
      </c>
      <c r="O206" s="120">
        <v>2</v>
      </c>
      <c r="P206" s="120">
        <v>25</v>
      </c>
      <c r="Q206" s="120">
        <v>52.5</v>
      </c>
      <c r="R206" s="120">
        <v>42.700000762939503</v>
      </c>
      <c r="S206" s="148">
        <v>18.600000381469702</v>
      </c>
      <c r="T206" s="120">
        <v>70</v>
      </c>
      <c r="U206" s="120">
        <v>18</v>
      </c>
      <c r="V206" s="120">
        <v>-9999</v>
      </c>
      <c r="W206" s="120">
        <v>-9999</v>
      </c>
      <c r="X206" s="120">
        <v>-9999</v>
      </c>
      <c r="Y206" s="120">
        <v>-9999</v>
      </c>
      <c r="Z206" s="120">
        <v>-9999</v>
      </c>
      <c r="AA206" s="120">
        <v>68</v>
      </c>
      <c r="AB206" s="120">
        <v>14.5</v>
      </c>
      <c r="AC206" s="120">
        <v>205</v>
      </c>
      <c r="AD206" s="120">
        <v>1477</v>
      </c>
      <c r="AE206" s="120">
        <v>-9999</v>
      </c>
      <c r="AF206" s="120">
        <v>-9999</v>
      </c>
      <c r="AG206" s="120">
        <v>-9999</v>
      </c>
      <c r="AQ206" s="60">
        <v>4</v>
      </c>
      <c r="AR206" s="60">
        <v>100</v>
      </c>
      <c r="AS206" s="60">
        <v>75</v>
      </c>
      <c r="AT206" s="60">
        <f>AVERAGEIFS(Compressors!$S:$S,Compressors!$G:$G,AS206,Compressors!$I:$I,AR206,Compressors!$D:$D,AQ206)</f>
        <v>18.899999618530298</v>
      </c>
      <c r="AU206" s="60">
        <v>18.899999618530298</v>
      </c>
      <c r="AV206">
        <f>AU206/AU198</f>
        <v>1.0799999782017313</v>
      </c>
      <c r="BB206" s="121">
        <v>100</v>
      </c>
      <c r="BC206" s="121">
        <v>20.5</v>
      </c>
      <c r="BD206" s="125">
        <v>125</v>
      </c>
      <c r="BE206" s="121"/>
      <c r="BF206" s="122">
        <v>125</v>
      </c>
      <c r="BG206" s="123">
        <v>16.100000381469702</v>
      </c>
      <c r="BH206" s="124">
        <v>100</v>
      </c>
      <c r="BI206" s="121"/>
      <c r="BJ206" s="121"/>
      <c r="BK206" s="121"/>
      <c r="BL206" s="121"/>
      <c r="BM206" s="121"/>
    </row>
    <row r="207" spans="1:65" x14ac:dyDescent="0.25">
      <c r="A207" s="120">
        <v>206</v>
      </c>
      <c r="B207" s="120" t="b">
        <v>0</v>
      </c>
      <c r="C207" s="120">
        <v>0</v>
      </c>
      <c r="D207" s="61">
        <v>1</v>
      </c>
      <c r="E207" s="120">
        <v>1</v>
      </c>
      <c r="F207" s="120" t="s">
        <v>173</v>
      </c>
      <c r="G207" s="55">
        <v>50</v>
      </c>
      <c r="H207" s="120">
        <v>205</v>
      </c>
      <c r="I207" s="57">
        <v>115</v>
      </c>
      <c r="J207" s="120">
        <v>125</v>
      </c>
      <c r="K207" s="120">
        <v>1</v>
      </c>
      <c r="L207" s="120">
        <v>50</v>
      </c>
      <c r="M207" s="120">
        <v>15</v>
      </c>
      <c r="N207" s="120">
        <v>40</v>
      </c>
      <c r="O207" s="120">
        <v>2</v>
      </c>
      <c r="P207" s="120">
        <v>5</v>
      </c>
      <c r="Q207" s="120">
        <v>52.5</v>
      </c>
      <c r="R207" s="120">
        <v>42.700000762939503</v>
      </c>
      <c r="S207" s="148">
        <v>20.799999237060501</v>
      </c>
      <c r="T207" s="120">
        <v>65</v>
      </c>
      <c r="U207" s="120">
        <v>17</v>
      </c>
      <c r="V207" s="120">
        <v>-9999</v>
      </c>
      <c r="W207" s="120">
        <v>-9999</v>
      </c>
      <c r="X207" s="120">
        <v>-9999</v>
      </c>
      <c r="Y207" s="120">
        <v>-9999</v>
      </c>
      <c r="Z207" s="120">
        <v>-9999</v>
      </c>
      <c r="AA207" s="120">
        <v>68</v>
      </c>
      <c r="AB207" s="120">
        <v>14.5</v>
      </c>
      <c r="AC207" s="120">
        <v>206</v>
      </c>
      <c r="AD207" s="120">
        <v>1478</v>
      </c>
      <c r="AE207" s="120">
        <v>-9999</v>
      </c>
      <c r="AF207" s="120">
        <v>-9999</v>
      </c>
      <c r="AG207" s="120">
        <v>-9999</v>
      </c>
      <c r="AQ207" s="60">
        <v>4</v>
      </c>
      <c r="AR207" s="60">
        <v>110</v>
      </c>
      <c r="AS207" s="60">
        <v>75</v>
      </c>
      <c r="AT207" s="60">
        <f>AVERAGEIFS(Compressors!$S:$S,Compressors!$G:$G,AS207,Compressors!$I:$I,AR207,Compressors!$D:$D,AQ207)</f>
        <v>20.200000762939499</v>
      </c>
      <c r="AU207" s="60">
        <v>20.200000762939499</v>
      </c>
      <c r="AV207" s="120">
        <f>AU207/AU199</f>
        <v>1.12222226460775</v>
      </c>
      <c r="BB207" s="121">
        <v>100</v>
      </c>
      <c r="BC207" s="121">
        <v>20.5</v>
      </c>
      <c r="BD207" s="125">
        <v>125</v>
      </c>
      <c r="BE207" s="121"/>
      <c r="BF207" s="122">
        <v>125</v>
      </c>
      <c r="BG207" s="123">
        <v>16.100000381469702</v>
      </c>
      <c r="BH207" s="124">
        <v>100</v>
      </c>
      <c r="BI207" s="121"/>
      <c r="BJ207" s="121"/>
      <c r="BK207" s="121"/>
      <c r="BL207" s="121"/>
      <c r="BM207" s="121"/>
    </row>
    <row r="208" spans="1:65" x14ac:dyDescent="0.25">
      <c r="A208" s="120">
        <v>207</v>
      </c>
      <c r="B208" s="120" t="b">
        <v>0</v>
      </c>
      <c r="C208" s="120">
        <v>0</v>
      </c>
      <c r="D208" s="61">
        <v>1</v>
      </c>
      <c r="E208" s="120">
        <v>1</v>
      </c>
      <c r="F208" s="120" t="s">
        <v>173</v>
      </c>
      <c r="G208" s="55">
        <v>50</v>
      </c>
      <c r="H208" s="120">
        <v>215</v>
      </c>
      <c r="I208" s="57">
        <v>115</v>
      </c>
      <c r="J208" s="120">
        <v>115</v>
      </c>
      <c r="K208" s="120">
        <v>2</v>
      </c>
      <c r="L208" s="120">
        <v>50</v>
      </c>
      <c r="M208" s="120">
        <v>15</v>
      </c>
      <c r="N208" s="120">
        <v>40</v>
      </c>
      <c r="O208" s="120">
        <v>2</v>
      </c>
      <c r="P208" s="120">
        <v>20</v>
      </c>
      <c r="Q208" s="120">
        <v>55</v>
      </c>
      <c r="R208" s="120">
        <v>44.700000762939503</v>
      </c>
      <c r="S208" s="148">
        <v>20.799999237060501</v>
      </c>
      <c r="T208" s="120">
        <v>65</v>
      </c>
      <c r="U208" s="120">
        <v>17</v>
      </c>
      <c r="V208" s="120">
        <v>-9999</v>
      </c>
      <c r="W208" s="120">
        <v>-9999</v>
      </c>
      <c r="X208" s="120">
        <v>-9999</v>
      </c>
      <c r="Y208" s="120">
        <v>-9999</v>
      </c>
      <c r="Z208" s="120">
        <v>-9999</v>
      </c>
      <c r="AA208" s="120">
        <v>68</v>
      </c>
      <c r="AB208" s="120">
        <v>14.5</v>
      </c>
      <c r="AC208" s="120">
        <v>207</v>
      </c>
      <c r="AD208" s="120">
        <v>1479</v>
      </c>
      <c r="AE208" s="120">
        <v>-9999</v>
      </c>
      <c r="AF208" s="120">
        <v>-9999</v>
      </c>
      <c r="AG208" s="120">
        <v>-9999</v>
      </c>
      <c r="AQ208" s="60">
        <v>4</v>
      </c>
      <c r="AR208" s="60">
        <v>115</v>
      </c>
      <c r="AS208" s="60">
        <v>75</v>
      </c>
      <c r="AT208" s="60" t="e">
        <f>AVERAGEIFS(Compressors!$S:$S,Compressors!$G:$G,AS208,Compressors!$I:$I,AR208,Compressors!$D:$D,AQ208)</f>
        <v>#DIV/0!</v>
      </c>
      <c r="AV208" s="120">
        <f>AU208/AU200</f>
        <v>0</v>
      </c>
      <c r="BB208" s="121">
        <v>125</v>
      </c>
      <c r="BC208" s="121">
        <v>19.200000762939499</v>
      </c>
      <c r="BD208" s="125">
        <v>100</v>
      </c>
      <c r="BE208" s="121"/>
      <c r="BF208" s="122">
        <v>125</v>
      </c>
      <c r="BG208" s="123">
        <v>17.399999618530298</v>
      </c>
      <c r="BH208" s="124">
        <v>115</v>
      </c>
      <c r="BI208" s="121">
        <f>BG208/BC220</f>
        <v>0.92553193216250884</v>
      </c>
      <c r="BJ208" s="121"/>
      <c r="BK208" s="121"/>
      <c r="BL208" s="121"/>
      <c r="BM208" s="121"/>
    </row>
    <row r="209" spans="1:65" x14ac:dyDescent="0.25">
      <c r="A209" s="120">
        <v>208</v>
      </c>
      <c r="B209" s="120" t="b">
        <v>0</v>
      </c>
      <c r="C209" s="120">
        <v>0</v>
      </c>
      <c r="D209" s="61">
        <v>1</v>
      </c>
      <c r="E209" s="120">
        <v>1</v>
      </c>
      <c r="F209" s="120" t="s">
        <v>173</v>
      </c>
      <c r="G209" s="55">
        <v>50</v>
      </c>
      <c r="H209" s="120">
        <v>215</v>
      </c>
      <c r="I209" s="57">
        <v>115</v>
      </c>
      <c r="J209" s="120">
        <v>115</v>
      </c>
      <c r="K209" s="120">
        <v>3</v>
      </c>
      <c r="L209" s="120">
        <v>40</v>
      </c>
      <c r="M209" s="120">
        <v>15</v>
      </c>
      <c r="N209" s="120">
        <v>40</v>
      </c>
      <c r="O209" s="120">
        <v>2</v>
      </c>
      <c r="P209" s="120">
        <v>16.666999816894499</v>
      </c>
      <c r="Q209" s="120">
        <v>55</v>
      </c>
      <c r="R209" s="120">
        <v>44.700000762939503</v>
      </c>
      <c r="S209" s="148">
        <v>20.799999237060501</v>
      </c>
      <c r="T209" s="120">
        <v>57</v>
      </c>
      <c r="U209" s="120">
        <v>17</v>
      </c>
      <c r="V209" s="120">
        <v>-9999</v>
      </c>
      <c r="W209" s="120">
        <v>-9999</v>
      </c>
      <c r="X209" s="120">
        <v>-9999</v>
      </c>
      <c r="Y209" s="120">
        <v>-9999</v>
      </c>
      <c r="Z209" s="120">
        <v>-9999</v>
      </c>
      <c r="AA209" s="120">
        <v>68</v>
      </c>
      <c r="AB209" s="120">
        <v>14.5</v>
      </c>
      <c r="AC209" s="120">
        <v>208</v>
      </c>
      <c r="AD209" s="120">
        <v>1480</v>
      </c>
      <c r="AE209" s="120">
        <v>-9999</v>
      </c>
      <c r="AF209" s="120">
        <v>-9999</v>
      </c>
      <c r="AG209" s="120">
        <v>-9999</v>
      </c>
      <c r="AQ209" s="60">
        <v>4</v>
      </c>
      <c r="AR209" s="60">
        <v>125</v>
      </c>
      <c r="AS209" s="60">
        <v>75</v>
      </c>
      <c r="AT209" s="60">
        <f>AVERAGEIFS(Compressors!$S:$S,Compressors!$G:$G,AS209,Compressors!$I:$I,AR209,Compressors!$D:$D,AQ209)</f>
        <v>22</v>
      </c>
      <c r="AU209" s="60">
        <v>22</v>
      </c>
      <c r="AV209" s="120">
        <f>AU209/AU201</f>
        <v>1.0679611650485437</v>
      </c>
      <c r="AW209">
        <f>AVERAGE(AV209,AV207,AV206)</f>
        <v>1.0900611359526751</v>
      </c>
      <c r="AX209" t="s">
        <v>365</v>
      </c>
      <c r="BA209" t="s">
        <v>368</v>
      </c>
      <c r="BB209" s="121">
        <v>125</v>
      </c>
      <c r="BC209" s="121">
        <v>19.200000762939499</v>
      </c>
      <c r="BD209" s="125">
        <v>100</v>
      </c>
      <c r="BE209" s="121"/>
      <c r="BF209" s="122">
        <v>125</v>
      </c>
      <c r="BG209" s="123">
        <v>17.399999618530298</v>
      </c>
      <c r="BH209" s="124">
        <v>115</v>
      </c>
      <c r="BI209" s="121"/>
      <c r="BJ209" s="121"/>
      <c r="BK209" s="121"/>
      <c r="BL209" s="121"/>
      <c r="BM209" s="121"/>
    </row>
    <row r="210" spans="1:65" x14ac:dyDescent="0.25">
      <c r="A210" s="120">
        <v>209</v>
      </c>
      <c r="B210" s="120" t="b">
        <v>0</v>
      </c>
      <c r="C210" s="120">
        <v>0</v>
      </c>
      <c r="D210" s="61">
        <v>1</v>
      </c>
      <c r="E210" s="120">
        <v>1</v>
      </c>
      <c r="F210" s="120" t="s">
        <v>173</v>
      </c>
      <c r="G210" s="55">
        <v>50</v>
      </c>
      <c r="H210" s="120">
        <v>205</v>
      </c>
      <c r="I210" s="57">
        <v>115</v>
      </c>
      <c r="J210" s="120">
        <v>125</v>
      </c>
      <c r="K210" s="120">
        <v>4</v>
      </c>
      <c r="L210" s="120">
        <v>100</v>
      </c>
      <c r="M210" s="120">
        <v>15</v>
      </c>
      <c r="N210" s="120">
        <v>40</v>
      </c>
      <c r="O210" s="120">
        <v>2</v>
      </c>
      <c r="P210" s="120">
        <v>-9999</v>
      </c>
      <c r="Q210" s="120">
        <v>52.5</v>
      </c>
      <c r="R210" s="120">
        <v>42.700000762939503</v>
      </c>
      <c r="S210" s="148">
        <v>20.799999237060501</v>
      </c>
      <c r="T210" s="120">
        <v>-9999</v>
      </c>
      <c r="U210" s="120">
        <v>17</v>
      </c>
      <c r="V210" s="120">
        <v>-9999</v>
      </c>
      <c r="W210" s="120">
        <v>-9999</v>
      </c>
      <c r="X210" s="120">
        <v>-9999</v>
      </c>
      <c r="Y210" s="120">
        <v>-9999</v>
      </c>
      <c r="Z210" s="120">
        <v>-9999</v>
      </c>
      <c r="AA210" s="120">
        <v>68</v>
      </c>
      <c r="AB210" s="120">
        <v>14.5</v>
      </c>
      <c r="AC210" s="120">
        <v>209</v>
      </c>
      <c r="AD210" s="120">
        <v>1481</v>
      </c>
      <c r="AE210" s="120">
        <v>-9999</v>
      </c>
      <c r="AF210" s="120">
        <v>-9999</v>
      </c>
      <c r="AG210" s="120">
        <v>-9999</v>
      </c>
      <c r="AQ210" s="60">
        <v>5</v>
      </c>
      <c r="AR210" s="60">
        <v>100</v>
      </c>
      <c r="AS210" s="60">
        <v>75</v>
      </c>
      <c r="AT210" s="60">
        <f>AVERAGEIFS(Compressors!$S:$S,Compressors!$G:$G,AS210,Compressors!$I:$I,AR210,Compressors!$D:$D,AQ210)</f>
        <v>15.3999996185303</v>
      </c>
      <c r="AU210" s="60">
        <v>15.3999996185303</v>
      </c>
      <c r="BB210" s="121">
        <v>125</v>
      </c>
      <c r="BC210" s="121">
        <v>19.200000762939499</v>
      </c>
      <c r="BD210" s="125">
        <v>100</v>
      </c>
      <c r="BE210" s="121"/>
      <c r="BF210" s="122">
        <v>125</v>
      </c>
      <c r="BG210" s="123">
        <v>17.399999618530298</v>
      </c>
      <c r="BH210" s="124">
        <v>115</v>
      </c>
      <c r="BI210" s="121"/>
      <c r="BJ210" s="121"/>
      <c r="BK210" s="121"/>
      <c r="BL210" s="121"/>
      <c r="BM210" s="121"/>
    </row>
    <row r="211" spans="1:65" x14ac:dyDescent="0.25">
      <c r="A211" s="120">
        <v>210</v>
      </c>
      <c r="B211" s="120" t="b">
        <v>0</v>
      </c>
      <c r="C211" s="120">
        <v>0</v>
      </c>
      <c r="D211" s="61">
        <v>1</v>
      </c>
      <c r="E211" s="120">
        <v>1</v>
      </c>
      <c r="F211" s="120" t="s">
        <v>173</v>
      </c>
      <c r="G211" s="55">
        <v>50</v>
      </c>
      <c r="H211" s="120">
        <v>205</v>
      </c>
      <c r="I211" s="57">
        <v>115</v>
      </c>
      <c r="J211" s="120">
        <v>125</v>
      </c>
      <c r="K211" s="120">
        <v>11</v>
      </c>
      <c r="L211" s="120">
        <v>60</v>
      </c>
      <c r="M211" s="120">
        <v>15</v>
      </c>
      <c r="N211" s="120">
        <v>40</v>
      </c>
      <c r="O211" s="120">
        <v>2</v>
      </c>
      <c r="P211" s="120">
        <v>25</v>
      </c>
      <c r="Q211" s="120">
        <v>52.5</v>
      </c>
      <c r="R211" s="120">
        <v>42.700000762939503</v>
      </c>
      <c r="S211" s="148">
        <v>20.799999237060501</v>
      </c>
      <c r="T211" s="120">
        <v>70</v>
      </c>
      <c r="U211" s="120">
        <v>17</v>
      </c>
      <c r="V211" s="120">
        <v>-9999</v>
      </c>
      <c r="W211" s="120">
        <v>-9999</v>
      </c>
      <c r="X211" s="120">
        <v>-9999</v>
      </c>
      <c r="Y211" s="120">
        <v>-9999</v>
      </c>
      <c r="Z211" s="120">
        <v>-9999</v>
      </c>
      <c r="AA211" s="120">
        <v>68</v>
      </c>
      <c r="AB211" s="120">
        <v>14.5</v>
      </c>
      <c r="AC211" s="120">
        <v>210</v>
      </c>
      <c r="AD211" s="120">
        <v>1482</v>
      </c>
      <c r="AE211" s="120">
        <v>-9999</v>
      </c>
      <c r="AF211" s="120">
        <v>-9999</v>
      </c>
      <c r="AG211" s="120">
        <v>-9999</v>
      </c>
      <c r="AQ211" s="60">
        <v>5</v>
      </c>
      <c r="AR211" s="60">
        <v>110</v>
      </c>
      <c r="AS211" s="60">
        <v>75</v>
      </c>
      <c r="AT211" s="60">
        <f>AVERAGEIFS(Compressors!$S:$S,Compressors!$G:$G,AS211,Compressors!$I:$I,AR211,Compressors!$D:$D,AQ211)</f>
        <v>16.100000381469702</v>
      </c>
      <c r="AU211" s="60">
        <v>16.100000381469702</v>
      </c>
      <c r="BB211" s="121">
        <v>125</v>
      </c>
      <c r="BC211" s="121">
        <v>19.200000762939499</v>
      </c>
      <c r="BD211" s="125">
        <v>100</v>
      </c>
      <c r="BE211" s="121"/>
      <c r="BF211" s="122">
        <v>125</v>
      </c>
      <c r="BG211" s="123">
        <v>17.399999618530298</v>
      </c>
      <c r="BH211" s="124">
        <v>115</v>
      </c>
      <c r="BI211" s="121"/>
      <c r="BJ211" s="121"/>
      <c r="BK211" s="121"/>
      <c r="BL211" s="121"/>
      <c r="BM211" s="121"/>
    </row>
    <row r="212" spans="1:65" x14ac:dyDescent="0.25">
      <c r="A212" s="120">
        <v>211</v>
      </c>
      <c r="B212" s="120" t="b">
        <v>0</v>
      </c>
      <c r="C212" s="120">
        <v>0</v>
      </c>
      <c r="D212" s="61">
        <v>1</v>
      </c>
      <c r="E212" s="120">
        <v>1</v>
      </c>
      <c r="F212" s="120" t="s">
        <v>173</v>
      </c>
      <c r="G212" s="55">
        <v>50</v>
      </c>
      <c r="H212" s="120">
        <v>198</v>
      </c>
      <c r="I212" s="57">
        <v>125</v>
      </c>
      <c r="J212" s="120">
        <v>135</v>
      </c>
      <c r="K212" s="120">
        <v>1</v>
      </c>
      <c r="L212" s="120">
        <v>50</v>
      </c>
      <c r="M212" s="120">
        <v>15</v>
      </c>
      <c r="N212" s="120">
        <v>40</v>
      </c>
      <c r="O212" s="120">
        <v>2</v>
      </c>
      <c r="P212" s="120">
        <v>5</v>
      </c>
      <c r="Q212" s="120">
        <v>52.5</v>
      </c>
      <c r="R212" s="120">
        <v>42.700000762939503</v>
      </c>
      <c r="S212" s="148">
        <v>21.600000381469702</v>
      </c>
      <c r="T212" s="120">
        <v>65</v>
      </c>
      <c r="U212" s="120">
        <v>18</v>
      </c>
      <c r="V212" s="120">
        <v>-9999</v>
      </c>
      <c r="W212" s="120">
        <v>-9999</v>
      </c>
      <c r="X212" s="120">
        <v>-9999</v>
      </c>
      <c r="Y212" s="120">
        <v>-9999</v>
      </c>
      <c r="Z212" s="120">
        <v>-9999</v>
      </c>
      <c r="AA212" s="120">
        <v>68</v>
      </c>
      <c r="AB212" s="120">
        <v>14.5</v>
      </c>
      <c r="AC212" s="120">
        <v>211</v>
      </c>
      <c r="AD212" s="120">
        <v>1483</v>
      </c>
      <c r="AE212" s="120">
        <v>-9999</v>
      </c>
      <c r="AF212" s="120">
        <v>-9999</v>
      </c>
      <c r="AG212" s="120">
        <v>-9999</v>
      </c>
      <c r="AQ212" s="60">
        <v>5</v>
      </c>
      <c r="AR212" s="60">
        <v>115</v>
      </c>
      <c r="AS212" s="60">
        <v>75</v>
      </c>
      <c r="AT212" s="60">
        <f>AVERAGEIFS(Compressors!$S:$S,Compressors!$G:$G,AS212,Compressors!$I:$I,AR212,Compressors!$D:$D,AQ212)</f>
        <v>16.399999618530298</v>
      </c>
      <c r="AU212" s="60">
        <v>16.399999618530298</v>
      </c>
      <c r="BB212" s="121">
        <v>125</v>
      </c>
      <c r="BC212" s="121">
        <v>19.200000762939499</v>
      </c>
      <c r="BD212" s="125">
        <v>100</v>
      </c>
      <c r="BE212" s="121"/>
      <c r="BF212" s="122">
        <v>125</v>
      </c>
      <c r="BG212" s="123">
        <v>17.399999618530298</v>
      </c>
      <c r="BH212" s="124">
        <v>115</v>
      </c>
      <c r="BI212" s="121"/>
      <c r="BJ212" s="121"/>
      <c r="BK212" s="121"/>
      <c r="BL212" s="121"/>
      <c r="BM212" s="121"/>
    </row>
    <row r="213" spans="1:65" x14ac:dyDescent="0.25">
      <c r="A213" s="120">
        <v>212</v>
      </c>
      <c r="B213" s="120" t="b">
        <v>0</v>
      </c>
      <c r="C213" s="120">
        <v>0</v>
      </c>
      <c r="D213" s="61">
        <v>1</v>
      </c>
      <c r="E213" s="120">
        <v>1</v>
      </c>
      <c r="F213" s="120" t="s">
        <v>173</v>
      </c>
      <c r="G213" s="55">
        <v>50</v>
      </c>
      <c r="H213" s="120">
        <v>208</v>
      </c>
      <c r="I213" s="57">
        <v>125</v>
      </c>
      <c r="J213" s="120">
        <v>125</v>
      </c>
      <c r="K213" s="120">
        <v>2</v>
      </c>
      <c r="L213" s="120">
        <v>50</v>
      </c>
      <c r="M213" s="120">
        <v>15</v>
      </c>
      <c r="N213" s="120">
        <v>40</v>
      </c>
      <c r="O213" s="120">
        <v>2</v>
      </c>
      <c r="P213" s="120">
        <v>20</v>
      </c>
      <c r="Q213" s="120">
        <v>55</v>
      </c>
      <c r="R213" s="120">
        <v>44.700000762939503</v>
      </c>
      <c r="S213" s="148">
        <v>21.600000381469702</v>
      </c>
      <c r="T213" s="120">
        <v>65</v>
      </c>
      <c r="U213" s="120">
        <v>18</v>
      </c>
      <c r="V213" s="120">
        <v>-9999</v>
      </c>
      <c r="W213" s="120">
        <v>-9999</v>
      </c>
      <c r="X213" s="120">
        <v>-9999</v>
      </c>
      <c r="Y213" s="120">
        <v>-9999</v>
      </c>
      <c r="Z213" s="120">
        <v>-9999</v>
      </c>
      <c r="AA213" s="120">
        <v>68</v>
      </c>
      <c r="AB213" s="120">
        <v>14.5</v>
      </c>
      <c r="AC213" s="120">
        <v>212</v>
      </c>
      <c r="AD213" s="120">
        <v>1484</v>
      </c>
      <c r="AE213" s="120">
        <v>-9999</v>
      </c>
      <c r="AF213" s="120">
        <v>-9999</v>
      </c>
      <c r="AG213" s="120">
        <v>-9999</v>
      </c>
      <c r="AQ213" s="60">
        <v>5</v>
      </c>
      <c r="AR213" s="60">
        <v>125</v>
      </c>
      <c r="AS213" s="60">
        <v>75</v>
      </c>
      <c r="AT213" s="60">
        <f>AVERAGEIFS(Compressors!$S:$S,Compressors!$G:$G,AS213,Compressors!$I:$I,AR213,Compressors!$D:$D,AQ213)</f>
        <v>17.100000381469702</v>
      </c>
      <c r="AU213" s="60">
        <v>17.100000381469702</v>
      </c>
      <c r="BB213" s="121">
        <v>125</v>
      </c>
      <c r="BC213" s="121">
        <v>18.200000762939499</v>
      </c>
      <c r="BD213" s="125">
        <v>110</v>
      </c>
      <c r="BE213" s="121"/>
      <c r="BF213" s="122">
        <v>125</v>
      </c>
      <c r="BG213" s="123">
        <v>17.899999618530298</v>
      </c>
      <c r="BH213" s="124">
        <v>125</v>
      </c>
      <c r="BI213" s="121">
        <f>BG214/BC224</f>
        <v>0.92268041085076902</v>
      </c>
      <c r="BJ213" s="121"/>
      <c r="BK213" s="121"/>
      <c r="BL213" s="121"/>
      <c r="BM213" s="121"/>
    </row>
    <row r="214" spans="1:65" x14ac:dyDescent="0.25">
      <c r="A214" s="120">
        <v>213</v>
      </c>
      <c r="B214" s="120" t="b">
        <v>0</v>
      </c>
      <c r="C214" s="120">
        <v>0</v>
      </c>
      <c r="D214" s="61">
        <v>1</v>
      </c>
      <c r="E214" s="120">
        <v>1</v>
      </c>
      <c r="F214" s="120" t="s">
        <v>173</v>
      </c>
      <c r="G214" s="55">
        <v>50</v>
      </c>
      <c r="H214" s="120">
        <v>208</v>
      </c>
      <c r="I214" s="57">
        <v>125</v>
      </c>
      <c r="J214" s="120">
        <v>125</v>
      </c>
      <c r="K214" s="120">
        <v>3</v>
      </c>
      <c r="L214" s="120">
        <v>40</v>
      </c>
      <c r="M214" s="120">
        <v>15</v>
      </c>
      <c r="N214" s="120">
        <v>40</v>
      </c>
      <c r="O214" s="120">
        <v>2</v>
      </c>
      <c r="P214" s="120">
        <v>16.666999816894499</v>
      </c>
      <c r="Q214" s="120">
        <v>55</v>
      </c>
      <c r="R214" s="120">
        <v>44.700000762939503</v>
      </c>
      <c r="S214" s="148">
        <v>21.600000381469702</v>
      </c>
      <c r="T214" s="120">
        <v>57</v>
      </c>
      <c r="U214" s="120">
        <v>18</v>
      </c>
      <c r="V214" s="120">
        <v>-9999</v>
      </c>
      <c r="W214" s="120">
        <v>-9999</v>
      </c>
      <c r="X214" s="120">
        <v>-9999</v>
      </c>
      <c r="Y214" s="120">
        <v>-9999</v>
      </c>
      <c r="Z214" s="120">
        <v>-9999</v>
      </c>
      <c r="AA214" s="120">
        <v>68</v>
      </c>
      <c r="AB214" s="120">
        <v>14.5</v>
      </c>
      <c r="AC214" s="120">
        <v>213</v>
      </c>
      <c r="AD214" s="120">
        <v>1485</v>
      </c>
      <c r="AE214" s="120">
        <v>-9999</v>
      </c>
      <c r="AF214" s="120">
        <v>-9999</v>
      </c>
      <c r="AG214" s="120">
        <v>-9999</v>
      </c>
      <c r="AQ214" s="60">
        <v>6</v>
      </c>
      <c r="AR214" s="60">
        <v>100</v>
      </c>
      <c r="AS214" s="60">
        <v>75</v>
      </c>
      <c r="AT214" s="60" t="e">
        <f>AVERAGEIFS(Compressors!$S:$S,Compressors!$G:$G,AS214,Compressors!$I:$I,AR214,Compressors!$D:$D,AQ214)</f>
        <v>#DIV/0!</v>
      </c>
      <c r="AU214" s="53"/>
      <c r="BB214" s="121">
        <v>125</v>
      </c>
      <c r="BC214" s="121">
        <v>18.200000762939499</v>
      </c>
      <c r="BD214" s="125">
        <v>110</v>
      </c>
      <c r="BE214" s="121"/>
      <c r="BF214" s="122">
        <v>125</v>
      </c>
      <c r="BG214" s="123">
        <v>17.899999618530298</v>
      </c>
      <c r="BH214" s="124">
        <v>125</v>
      </c>
      <c r="BI214" s="121"/>
      <c r="BJ214" s="121"/>
      <c r="BK214" s="121"/>
      <c r="BL214" s="121"/>
      <c r="BM214" s="121"/>
    </row>
    <row r="215" spans="1:65" x14ac:dyDescent="0.25">
      <c r="A215" s="120">
        <v>214</v>
      </c>
      <c r="B215" s="120" t="b">
        <v>0</v>
      </c>
      <c r="C215" s="120">
        <v>0</v>
      </c>
      <c r="D215" s="61">
        <v>1</v>
      </c>
      <c r="E215" s="120">
        <v>1</v>
      </c>
      <c r="F215" s="120" t="s">
        <v>173</v>
      </c>
      <c r="G215" s="55">
        <v>50</v>
      </c>
      <c r="H215" s="120">
        <v>198</v>
      </c>
      <c r="I215" s="57">
        <v>125</v>
      </c>
      <c r="J215" s="120">
        <v>135</v>
      </c>
      <c r="K215" s="120">
        <v>4</v>
      </c>
      <c r="L215" s="120">
        <v>100</v>
      </c>
      <c r="M215" s="120">
        <v>15</v>
      </c>
      <c r="N215" s="120">
        <v>40</v>
      </c>
      <c r="O215" s="120">
        <v>2</v>
      </c>
      <c r="P215" s="120">
        <v>-9999</v>
      </c>
      <c r="Q215" s="120">
        <v>52.5</v>
      </c>
      <c r="R215" s="120">
        <v>42.700000762939503</v>
      </c>
      <c r="S215" s="148">
        <v>21.600000381469702</v>
      </c>
      <c r="T215" s="120">
        <v>-9999</v>
      </c>
      <c r="U215" s="120">
        <v>18</v>
      </c>
      <c r="V215" s="120">
        <v>-9999</v>
      </c>
      <c r="W215" s="120">
        <v>-9999</v>
      </c>
      <c r="X215" s="120">
        <v>-9999</v>
      </c>
      <c r="Y215" s="120">
        <v>-9999</v>
      </c>
      <c r="Z215" s="120">
        <v>-9999</v>
      </c>
      <c r="AA215" s="120">
        <v>68</v>
      </c>
      <c r="AB215" s="120">
        <v>14.5</v>
      </c>
      <c r="AC215" s="120">
        <v>214</v>
      </c>
      <c r="AD215" s="120">
        <v>1486</v>
      </c>
      <c r="AE215" s="120">
        <v>-9999</v>
      </c>
      <c r="AF215" s="120">
        <v>-9999</v>
      </c>
      <c r="AG215" s="120">
        <v>-9999</v>
      </c>
      <c r="AQ215" s="60">
        <v>6</v>
      </c>
      <c r="AR215" s="60">
        <v>110</v>
      </c>
      <c r="AS215" s="60">
        <v>75</v>
      </c>
      <c r="AT215" s="60" t="e">
        <f>AVERAGEIFS(Compressors!$S:$S,Compressors!$G:$G,AS215,Compressors!$I:$I,AR215,Compressors!$D:$D,AQ215)</f>
        <v>#DIV/0!</v>
      </c>
      <c r="AU215" s="53"/>
      <c r="BB215" s="121">
        <v>125</v>
      </c>
      <c r="BC215" s="121">
        <v>18.200000762939499</v>
      </c>
      <c r="BD215" s="125">
        <v>110</v>
      </c>
      <c r="BE215" s="121"/>
      <c r="BF215" s="122">
        <v>125</v>
      </c>
      <c r="BG215" s="123">
        <v>17.899999618530298</v>
      </c>
      <c r="BH215" s="124">
        <v>125</v>
      </c>
      <c r="BI215" s="121"/>
      <c r="BJ215" s="121"/>
      <c r="BK215" s="121"/>
      <c r="BL215" s="121"/>
      <c r="BM215" s="121"/>
    </row>
    <row r="216" spans="1:65" x14ac:dyDescent="0.25">
      <c r="A216" s="120">
        <v>215</v>
      </c>
      <c r="B216" s="120" t="b">
        <v>0</v>
      </c>
      <c r="C216" s="120">
        <v>0</v>
      </c>
      <c r="D216" s="61">
        <v>1</v>
      </c>
      <c r="E216" s="120">
        <v>1</v>
      </c>
      <c r="F216" s="120" t="s">
        <v>173</v>
      </c>
      <c r="G216" s="55">
        <v>50</v>
      </c>
      <c r="H216" s="120">
        <v>198</v>
      </c>
      <c r="I216" s="57">
        <v>125</v>
      </c>
      <c r="J216" s="120">
        <v>135</v>
      </c>
      <c r="K216" s="120">
        <v>11</v>
      </c>
      <c r="L216" s="120">
        <v>60</v>
      </c>
      <c r="M216" s="120">
        <v>15</v>
      </c>
      <c r="N216" s="120">
        <v>40</v>
      </c>
      <c r="O216" s="120">
        <v>2</v>
      </c>
      <c r="P216" s="120">
        <v>25</v>
      </c>
      <c r="Q216" s="120">
        <v>52.5</v>
      </c>
      <c r="R216" s="120">
        <v>42.700000762939503</v>
      </c>
      <c r="S216" s="148">
        <v>21.600000381469702</v>
      </c>
      <c r="T216" s="120">
        <v>70</v>
      </c>
      <c r="U216" s="120">
        <v>18</v>
      </c>
      <c r="V216" s="120">
        <v>-9999</v>
      </c>
      <c r="W216" s="120">
        <v>-9999</v>
      </c>
      <c r="X216" s="120">
        <v>-9999</v>
      </c>
      <c r="Y216" s="120">
        <v>-9999</v>
      </c>
      <c r="Z216" s="120">
        <v>-9999</v>
      </c>
      <c r="AA216" s="120">
        <v>68</v>
      </c>
      <c r="AB216" s="120">
        <v>14.5</v>
      </c>
      <c r="AC216" s="120">
        <v>215</v>
      </c>
      <c r="AD216" s="120">
        <v>1487</v>
      </c>
      <c r="AE216" s="120">
        <v>-9999</v>
      </c>
      <c r="AF216" s="120">
        <v>-9999</v>
      </c>
      <c r="AG216" s="120">
        <v>-9999</v>
      </c>
      <c r="AQ216" s="60">
        <v>6</v>
      </c>
      <c r="AR216" s="60">
        <v>115</v>
      </c>
      <c r="AS216" s="60">
        <v>75</v>
      </c>
      <c r="AT216" s="60" t="e">
        <f>AVERAGEIFS(Compressors!$S:$S,Compressors!$G:$G,AS216,Compressors!$I:$I,AR216,Compressors!$D:$D,AQ216)</f>
        <v>#DIV/0!</v>
      </c>
      <c r="AU216" s="53"/>
      <c r="BB216" s="121">
        <v>125</v>
      </c>
      <c r="BC216" s="121">
        <v>18.200000762939499</v>
      </c>
      <c r="BD216" s="125">
        <v>110</v>
      </c>
      <c r="BE216" s="121"/>
      <c r="BF216" s="122">
        <v>125</v>
      </c>
      <c r="BG216" s="123">
        <v>17.899999618530298</v>
      </c>
      <c r="BH216" s="124">
        <v>125</v>
      </c>
      <c r="BI216" s="121"/>
      <c r="BJ216" s="121"/>
      <c r="BK216" s="121">
        <f>AVERAGE(BI188:BI233)</f>
        <v>0.90051146116432579</v>
      </c>
      <c r="BL216" s="121"/>
      <c r="BM216" s="121"/>
    </row>
    <row r="217" spans="1:65" x14ac:dyDescent="0.25">
      <c r="A217" s="120">
        <v>216</v>
      </c>
      <c r="B217" s="120" t="b">
        <v>0</v>
      </c>
      <c r="C217" s="120">
        <v>0</v>
      </c>
      <c r="D217" s="61">
        <v>1</v>
      </c>
      <c r="E217" s="120">
        <v>1</v>
      </c>
      <c r="F217" s="120" t="s">
        <v>173</v>
      </c>
      <c r="G217" s="55">
        <v>50</v>
      </c>
      <c r="H217" s="120">
        <v>182</v>
      </c>
      <c r="I217" s="57">
        <v>140</v>
      </c>
      <c r="J217" s="120">
        <v>150</v>
      </c>
      <c r="K217" s="120">
        <v>1</v>
      </c>
      <c r="L217" s="120">
        <v>50</v>
      </c>
      <c r="M217" s="120">
        <v>15</v>
      </c>
      <c r="N217" s="120">
        <v>40</v>
      </c>
      <c r="O217" s="120">
        <v>2</v>
      </c>
      <c r="P217" s="120">
        <v>5</v>
      </c>
      <c r="Q217" s="120">
        <v>52.5</v>
      </c>
      <c r="R217" s="120">
        <v>42.700000762939503</v>
      </c>
      <c r="S217" s="148">
        <v>23.5</v>
      </c>
      <c r="T217" s="120">
        <v>65</v>
      </c>
      <c r="U217" s="120">
        <v>18</v>
      </c>
      <c r="V217" s="120">
        <v>-9999</v>
      </c>
      <c r="W217" s="120">
        <v>-9999</v>
      </c>
      <c r="X217" s="120">
        <v>-9999</v>
      </c>
      <c r="Y217" s="120">
        <v>-9999</v>
      </c>
      <c r="Z217" s="120">
        <v>-9999</v>
      </c>
      <c r="AA217" s="120">
        <v>68</v>
      </c>
      <c r="AB217" s="120">
        <v>14.5</v>
      </c>
      <c r="AC217" s="120">
        <v>216</v>
      </c>
      <c r="AD217" s="120">
        <v>1488</v>
      </c>
      <c r="AE217" s="120">
        <v>-9999</v>
      </c>
      <c r="AF217" s="120">
        <v>-9999</v>
      </c>
      <c r="AG217" s="120">
        <v>-9999</v>
      </c>
      <c r="AQ217" s="60">
        <v>6</v>
      </c>
      <c r="AR217" s="60">
        <v>125</v>
      </c>
      <c r="AS217" s="60">
        <v>75</v>
      </c>
      <c r="AT217" s="60" t="e">
        <f>AVERAGEIFS(Compressors!$S:$S,Compressors!$G:$G,AS217,Compressors!$I:$I,AR217,Compressors!$D:$D,AQ217)</f>
        <v>#DIV/0!</v>
      </c>
      <c r="AU217" s="53"/>
      <c r="BB217" s="121">
        <v>125</v>
      </c>
      <c r="BC217" s="121">
        <v>18.200000762939499</v>
      </c>
      <c r="BD217" s="125">
        <v>110</v>
      </c>
      <c r="BE217" s="121"/>
      <c r="BF217" s="122">
        <v>125</v>
      </c>
      <c r="BG217" s="123">
        <v>17.899999618530298</v>
      </c>
      <c r="BH217" s="124">
        <v>125</v>
      </c>
      <c r="BI217" s="121"/>
      <c r="BJ217" s="121"/>
      <c r="BK217" s="121"/>
      <c r="BL217" s="121"/>
      <c r="BM217" s="121"/>
    </row>
    <row r="218" spans="1:65" x14ac:dyDescent="0.25">
      <c r="A218" s="120">
        <v>217</v>
      </c>
      <c r="B218" s="120" t="b">
        <v>0</v>
      </c>
      <c r="C218" s="120">
        <v>0</v>
      </c>
      <c r="D218" s="61">
        <v>1</v>
      </c>
      <c r="E218" s="120">
        <v>1</v>
      </c>
      <c r="F218" s="120" t="s">
        <v>173</v>
      </c>
      <c r="G218" s="55">
        <v>50</v>
      </c>
      <c r="H218" s="120">
        <v>190</v>
      </c>
      <c r="I218" s="57">
        <v>140</v>
      </c>
      <c r="J218" s="120">
        <v>140</v>
      </c>
      <c r="K218" s="120">
        <v>2</v>
      </c>
      <c r="L218" s="120">
        <v>50</v>
      </c>
      <c r="M218" s="120">
        <v>15</v>
      </c>
      <c r="N218" s="120">
        <v>40</v>
      </c>
      <c r="O218" s="120">
        <v>2</v>
      </c>
      <c r="P218" s="120">
        <v>20</v>
      </c>
      <c r="Q218" s="120">
        <v>55</v>
      </c>
      <c r="R218" s="120">
        <v>44.700000762939503</v>
      </c>
      <c r="S218" s="148">
        <v>23.5</v>
      </c>
      <c r="T218" s="120">
        <v>65</v>
      </c>
      <c r="U218" s="120">
        <v>18</v>
      </c>
      <c r="V218" s="120">
        <v>-9999</v>
      </c>
      <c r="W218" s="120">
        <v>-9999</v>
      </c>
      <c r="X218" s="120">
        <v>-9999</v>
      </c>
      <c r="Y218" s="120">
        <v>-9999</v>
      </c>
      <c r="Z218" s="120">
        <v>-9999</v>
      </c>
      <c r="AA218" s="120">
        <v>68</v>
      </c>
      <c r="AB218" s="120">
        <v>14.5</v>
      </c>
      <c r="AC218" s="120">
        <v>217</v>
      </c>
      <c r="AD218" s="120">
        <v>1489</v>
      </c>
      <c r="AE218" s="120">
        <v>-9999</v>
      </c>
      <c r="AF218" s="120">
        <v>-9999</v>
      </c>
      <c r="AG218" s="120">
        <v>-9999</v>
      </c>
      <c r="AQ218" s="61">
        <v>1</v>
      </c>
      <c r="AR218" s="61">
        <v>100</v>
      </c>
      <c r="AS218" s="61">
        <v>100</v>
      </c>
      <c r="AT218" s="61">
        <f>AVERAGEIFS(Compressors!$S:$S,Compressors!$G:$G,AS218,Compressors!$I:$I,AR218,Compressors!$D:$D,AQ218)</f>
        <v>18.100000381469702</v>
      </c>
      <c r="AU218" s="61">
        <v>18.100000000000001</v>
      </c>
      <c r="BB218" s="121">
        <v>125</v>
      </c>
      <c r="BC218" s="121">
        <v>18.799999237060501</v>
      </c>
      <c r="BD218" s="125">
        <v>115</v>
      </c>
      <c r="BE218" s="121"/>
      <c r="BF218" s="122">
        <v>150</v>
      </c>
      <c r="BG218" s="123">
        <v>16</v>
      </c>
      <c r="BH218" s="124">
        <v>100</v>
      </c>
      <c r="BI218" s="121">
        <f>BG218/BC228</f>
        <v>0.9248555321161166</v>
      </c>
      <c r="BJ218" s="121"/>
      <c r="BK218" s="121"/>
      <c r="BL218" s="121"/>
      <c r="BM218" s="121"/>
    </row>
    <row r="219" spans="1:65" x14ac:dyDescent="0.25">
      <c r="A219" s="120">
        <v>218</v>
      </c>
      <c r="B219" s="120" t="b">
        <v>0</v>
      </c>
      <c r="C219" s="120">
        <v>0</v>
      </c>
      <c r="D219" s="61">
        <v>1</v>
      </c>
      <c r="E219" s="120">
        <v>1</v>
      </c>
      <c r="F219" s="120" t="s">
        <v>173</v>
      </c>
      <c r="G219" s="55">
        <v>50</v>
      </c>
      <c r="H219" s="120">
        <v>190</v>
      </c>
      <c r="I219" s="57">
        <v>140</v>
      </c>
      <c r="J219" s="120">
        <v>140</v>
      </c>
      <c r="K219" s="120">
        <v>3</v>
      </c>
      <c r="L219" s="120">
        <v>40</v>
      </c>
      <c r="M219" s="120">
        <v>15</v>
      </c>
      <c r="N219" s="120">
        <v>40</v>
      </c>
      <c r="O219" s="120">
        <v>2</v>
      </c>
      <c r="P219" s="120">
        <v>16.666999816894499</v>
      </c>
      <c r="Q219" s="120">
        <v>55</v>
      </c>
      <c r="R219" s="120">
        <v>44.700000762939503</v>
      </c>
      <c r="S219" s="148">
        <v>23.5</v>
      </c>
      <c r="T219" s="120">
        <v>57</v>
      </c>
      <c r="U219" s="120">
        <v>18</v>
      </c>
      <c r="V219" s="120">
        <v>-9999</v>
      </c>
      <c r="W219" s="120">
        <v>-9999</v>
      </c>
      <c r="X219" s="120">
        <v>-9999</v>
      </c>
      <c r="Y219" s="120">
        <v>-9999</v>
      </c>
      <c r="Z219" s="120">
        <v>-9999</v>
      </c>
      <c r="AA219" s="120">
        <v>68</v>
      </c>
      <c r="AB219" s="120">
        <v>14.5</v>
      </c>
      <c r="AC219" s="120">
        <v>218</v>
      </c>
      <c r="AD219" s="120">
        <v>1490</v>
      </c>
      <c r="AE219" s="120">
        <v>-9999</v>
      </c>
      <c r="AF219" s="120">
        <v>-9999</v>
      </c>
      <c r="AG219" s="120">
        <v>-9999</v>
      </c>
      <c r="AQ219" s="61">
        <v>1</v>
      </c>
      <c r="AR219" s="61">
        <v>110</v>
      </c>
      <c r="AS219" s="61">
        <v>100</v>
      </c>
      <c r="AT219" s="61">
        <f>AVERAGEIFS(Compressors!$S:$S,Compressors!$G:$G,AS219,Compressors!$I:$I,AR219,Compressors!$D:$D,AQ219)</f>
        <v>18.299999237060501</v>
      </c>
      <c r="AU219" s="61">
        <v>18.3</v>
      </c>
      <c r="BB219" s="121">
        <v>125</v>
      </c>
      <c r="BC219" s="121">
        <v>18.799999237060501</v>
      </c>
      <c r="BD219" s="125">
        <v>115</v>
      </c>
      <c r="BE219" s="121"/>
      <c r="BF219" s="122">
        <v>150</v>
      </c>
      <c r="BG219" s="123">
        <v>16</v>
      </c>
      <c r="BH219" s="124">
        <v>100</v>
      </c>
      <c r="BI219" s="121"/>
      <c r="BJ219" s="121"/>
      <c r="BK219" s="121"/>
      <c r="BL219" s="121"/>
      <c r="BM219" s="121"/>
    </row>
    <row r="220" spans="1:65" x14ac:dyDescent="0.25">
      <c r="A220" s="120">
        <v>219</v>
      </c>
      <c r="B220" s="120" t="b">
        <v>0</v>
      </c>
      <c r="C220" s="120">
        <v>0</v>
      </c>
      <c r="D220" s="61">
        <v>1</v>
      </c>
      <c r="E220" s="120">
        <v>1</v>
      </c>
      <c r="F220" s="120" t="s">
        <v>173</v>
      </c>
      <c r="G220" s="55">
        <v>50</v>
      </c>
      <c r="H220" s="120">
        <v>182</v>
      </c>
      <c r="I220" s="57">
        <v>140</v>
      </c>
      <c r="J220" s="120">
        <v>150</v>
      </c>
      <c r="K220" s="120">
        <v>4</v>
      </c>
      <c r="L220" s="120">
        <v>100</v>
      </c>
      <c r="M220" s="120">
        <v>15</v>
      </c>
      <c r="N220" s="120">
        <v>40</v>
      </c>
      <c r="O220" s="120">
        <v>2</v>
      </c>
      <c r="P220" s="120">
        <v>-9999</v>
      </c>
      <c r="Q220" s="120">
        <v>52.5</v>
      </c>
      <c r="R220" s="120">
        <v>42.700000762939503</v>
      </c>
      <c r="S220" s="148">
        <v>23.5</v>
      </c>
      <c r="T220" s="120">
        <v>-9999</v>
      </c>
      <c r="U220" s="120">
        <v>18</v>
      </c>
      <c r="V220" s="120">
        <v>-9999</v>
      </c>
      <c r="W220" s="120">
        <v>-9999</v>
      </c>
      <c r="X220" s="120">
        <v>-9999</v>
      </c>
      <c r="Y220" s="120">
        <v>-9999</v>
      </c>
      <c r="Z220" s="120">
        <v>-9999</v>
      </c>
      <c r="AA220" s="120">
        <v>68</v>
      </c>
      <c r="AB220" s="120">
        <v>14.5</v>
      </c>
      <c r="AC220" s="120">
        <v>219</v>
      </c>
      <c r="AD220" s="120">
        <v>1491</v>
      </c>
      <c r="AE220" s="120">
        <v>-9999</v>
      </c>
      <c r="AF220" s="120">
        <v>-9999</v>
      </c>
      <c r="AG220" s="120">
        <v>-9999</v>
      </c>
      <c r="AQ220" s="61">
        <v>1</v>
      </c>
      <c r="AR220" s="61">
        <v>115</v>
      </c>
      <c r="AS220" s="61">
        <v>100</v>
      </c>
      <c r="AT220" s="61">
        <f>AVERAGEIFS(Compressors!$S:$S,Compressors!$G:$G,AS220,Compressors!$I:$I,AR220,Compressors!$D:$D,AQ220)</f>
        <v>19.600000381469702</v>
      </c>
      <c r="AU220" s="61">
        <v>19.600000000000001</v>
      </c>
      <c r="BB220" s="121">
        <v>125</v>
      </c>
      <c r="BC220" s="121">
        <v>18.799999237060501</v>
      </c>
      <c r="BD220" s="125">
        <v>115</v>
      </c>
      <c r="BE220" s="121"/>
      <c r="BF220" s="122">
        <v>150</v>
      </c>
      <c r="BG220" s="123">
        <v>16</v>
      </c>
      <c r="BH220" s="124">
        <v>100</v>
      </c>
      <c r="BI220" s="121"/>
      <c r="BJ220" s="121"/>
      <c r="BK220" s="121"/>
      <c r="BL220" s="121"/>
      <c r="BM220" s="121"/>
    </row>
    <row r="221" spans="1:65" x14ac:dyDescent="0.25">
      <c r="A221" s="120">
        <v>220</v>
      </c>
      <c r="B221" s="120" t="b">
        <v>0</v>
      </c>
      <c r="C221" s="120">
        <v>0</v>
      </c>
      <c r="D221" s="61">
        <v>1</v>
      </c>
      <c r="E221" s="120">
        <v>1</v>
      </c>
      <c r="F221" s="120" t="s">
        <v>173</v>
      </c>
      <c r="G221" s="55">
        <v>50</v>
      </c>
      <c r="H221" s="120">
        <v>182</v>
      </c>
      <c r="I221" s="57">
        <v>140</v>
      </c>
      <c r="J221" s="120">
        <v>150</v>
      </c>
      <c r="K221" s="120">
        <v>11</v>
      </c>
      <c r="L221" s="120">
        <v>60</v>
      </c>
      <c r="M221" s="120">
        <v>15</v>
      </c>
      <c r="N221" s="120">
        <v>40</v>
      </c>
      <c r="O221" s="120">
        <v>2</v>
      </c>
      <c r="P221" s="120">
        <v>25</v>
      </c>
      <c r="Q221" s="120">
        <v>52.5</v>
      </c>
      <c r="R221" s="120">
        <v>42.700000762939503</v>
      </c>
      <c r="S221" s="148">
        <v>23.5</v>
      </c>
      <c r="T221" s="120">
        <v>70</v>
      </c>
      <c r="U221" s="120">
        <v>18</v>
      </c>
      <c r="V221" s="120">
        <v>-9999</v>
      </c>
      <c r="W221" s="120">
        <v>-9999</v>
      </c>
      <c r="X221" s="120">
        <v>-9999</v>
      </c>
      <c r="Y221" s="120">
        <v>-9999</v>
      </c>
      <c r="Z221" s="120">
        <v>-9999</v>
      </c>
      <c r="AA221" s="120">
        <v>68</v>
      </c>
      <c r="AB221" s="120">
        <v>14.5</v>
      </c>
      <c r="AC221" s="120">
        <v>220</v>
      </c>
      <c r="AD221" s="120">
        <v>1492</v>
      </c>
      <c r="AE221" s="120">
        <v>-9999</v>
      </c>
      <c r="AF221" s="120">
        <v>-9999</v>
      </c>
      <c r="AG221" s="120">
        <v>-9999</v>
      </c>
      <c r="AQ221" s="61">
        <v>1</v>
      </c>
      <c r="AR221" s="61">
        <v>125</v>
      </c>
      <c r="AS221" s="61">
        <v>100</v>
      </c>
      <c r="AT221" s="61">
        <f>AVERAGEIFS(Compressors!$S:$S,Compressors!$G:$G,AS221,Compressors!$I:$I,AR221,Compressors!$D:$D,AQ221)</f>
        <v>20.5</v>
      </c>
      <c r="AU221" s="61">
        <v>20.5</v>
      </c>
      <c r="AV221" t="s">
        <v>210</v>
      </c>
      <c r="BB221" s="121">
        <v>125</v>
      </c>
      <c r="BC221" s="121">
        <v>18.799999237060501</v>
      </c>
      <c r="BD221" s="125">
        <v>115</v>
      </c>
      <c r="BE221" s="121"/>
      <c r="BF221" s="122">
        <v>150</v>
      </c>
      <c r="BG221" s="123">
        <v>16</v>
      </c>
      <c r="BH221" s="124">
        <v>100</v>
      </c>
      <c r="BI221" s="121"/>
      <c r="BJ221" s="121"/>
      <c r="BK221" s="121"/>
      <c r="BL221" s="121"/>
      <c r="BM221" s="121"/>
    </row>
    <row r="222" spans="1:65" x14ac:dyDescent="0.25">
      <c r="A222" s="120">
        <v>221</v>
      </c>
      <c r="B222" s="120" t="b">
        <v>0</v>
      </c>
      <c r="C222" s="120">
        <v>0</v>
      </c>
      <c r="D222" s="61">
        <v>1</v>
      </c>
      <c r="E222" s="120">
        <v>1</v>
      </c>
      <c r="F222" s="120" t="s">
        <v>173</v>
      </c>
      <c r="G222" s="55">
        <v>50</v>
      </c>
      <c r="H222" s="120">
        <v>177</v>
      </c>
      <c r="I222" s="57">
        <v>150</v>
      </c>
      <c r="J222" s="120">
        <v>160</v>
      </c>
      <c r="K222" s="120">
        <v>1</v>
      </c>
      <c r="L222" s="120">
        <v>50</v>
      </c>
      <c r="M222" s="120">
        <v>15</v>
      </c>
      <c r="N222" s="120">
        <v>40</v>
      </c>
      <c r="O222" s="120">
        <v>2</v>
      </c>
      <c r="P222" s="120">
        <v>5</v>
      </c>
      <c r="Q222" s="120">
        <v>52.5</v>
      </c>
      <c r="R222" s="120">
        <v>42.700000762939503</v>
      </c>
      <c r="S222" s="148">
        <v>24.100000381469702</v>
      </c>
      <c r="T222" s="120">
        <v>65</v>
      </c>
      <c r="U222" s="120">
        <v>19</v>
      </c>
      <c r="V222" s="120">
        <v>-9999</v>
      </c>
      <c r="W222" s="120">
        <v>-9999</v>
      </c>
      <c r="X222" s="120">
        <v>-9999</v>
      </c>
      <c r="Y222" s="120">
        <v>-9999</v>
      </c>
      <c r="Z222" s="120">
        <v>-9999</v>
      </c>
      <c r="AA222" s="120">
        <v>68</v>
      </c>
      <c r="AB222" s="120">
        <v>14.5</v>
      </c>
      <c r="AC222" s="120">
        <v>221</v>
      </c>
      <c r="AD222" s="120">
        <v>1493</v>
      </c>
      <c r="AE222" s="120">
        <v>-9999</v>
      </c>
      <c r="AF222" s="120">
        <v>-9999</v>
      </c>
      <c r="AG222" s="120">
        <v>-9999</v>
      </c>
      <c r="AQ222" s="61">
        <v>2</v>
      </c>
      <c r="AR222" s="61">
        <v>100</v>
      </c>
      <c r="AS222" s="61">
        <v>100</v>
      </c>
      <c r="AT222" s="61">
        <f>AVERAGEIFS(Compressors!$S:$S,Compressors!$G:$G,AS222,Compressors!$I:$I,AR222,Compressors!$D:$D,AQ222)</f>
        <v>16</v>
      </c>
      <c r="AU222" s="61">
        <v>16</v>
      </c>
      <c r="AV222">
        <f>AT222/AT218</f>
        <v>0.8839778819220564</v>
      </c>
      <c r="BB222" s="121">
        <v>125</v>
      </c>
      <c r="BC222" s="121">
        <v>18.799999237060501</v>
      </c>
      <c r="BD222" s="125">
        <v>115</v>
      </c>
      <c r="BE222" s="121"/>
      <c r="BF222" s="122">
        <v>150</v>
      </c>
      <c r="BG222" s="123">
        <v>16</v>
      </c>
      <c r="BH222" s="124">
        <v>100</v>
      </c>
      <c r="BI222" s="121"/>
      <c r="BJ222" s="121"/>
      <c r="BK222" s="121"/>
      <c r="BL222" s="121"/>
      <c r="BM222" s="121"/>
    </row>
    <row r="223" spans="1:65" x14ac:dyDescent="0.25">
      <c r="A223" s="120">
        <v>222</v>
      </c>
      <c r="B223" s="120" t="b">
        <v>0</v>
      </c>
      <c r="C223" s="120">
        <v>0</v>
      </c>
      <c r="D223" s="61">
        <v>1</v>
      </c>
      <c r="E223" s="120">
        <v>1</v>
      </c>
      <c r="F223" s="120" t="s">
        <v>173</v>
      </c>
      <c r="G223" s="55">
        <v>50</v>
      </c>
      <c r="H223" s="120">
        <v>186</v>
      </c>
      <c r="I223" s="57">
        <v>150</v>
      </c>
      <c r="J223" s="120">
        <v>150</v>
      </c>
      <c r="K223" s="120">
        <v>2</v>
      </c>
      <c r="L223" s="120">
        <v>50</v>
      </c>
      <c r="M223" s="120">
        <v>15</v>
      </c>
      <c r="N223" s="120">
        <v>40</v>
      </c>
      <c r="O223" s="120">
        <v>2</v>
      </c>
      <c r="P223" s="120">
        <v>20</v>
      </c>
      <c r="Q223" s="120">
        <v>55</v>
      </c>
      <c r="R223" s="120">
        <v>44.700000762939503</v>
      </c>
      <c r="S223" s="148">
        <v>24.100000381469702</v>
      </c>
      <c r="T223" s="120">
        <v>65</v>
      </c>
      <c r="U223" s="120">
        <v>19</v>
      </c>
      <c r="V223" s="120">
        <v>-9999</v>
      </c>
      <c r="W223" s="120">
        <v>-9999</v>
      </c>
      <c r="X223" s="120">
        <v>-9999</v>
      </c>
      <c r="Y223" s="120">
        <v>-9999</v>
      </c>
      <c r="Z223" s="120">
        <v>-9999</v>
      </c>
      <c r="AA223" s="120">
        <v>68</v>
      </c>
      <c r="AB223" s="120">
        <v>14.5</v>
      </c>
      <c r="AC223" s="120">
        <v>222</v>
      </c>
      <c r="AD223" s="120">
        <v>1494</v>
      </c>
      <c r="AE223" s="120">
        <v>-9999</v>
      </c>
      <c r="AF223" s="120">
        <v>-9999</v>
      </c>
      <c r="AG223" s="120">
        <v>-9999</v>
      </c>
      <c r="AQ223" s="61">
        <v>2</v>
      </c>
      <c r="AR223" s="61">
        <v>110</v>
      </c>
      <c r="AS223" s="61">
        <v>100</v>
      </c>
      <c r="AT223" s="61" t="e">
        <f>AVERAGEIFS(Compressors!$S:$S,Compressors!$G:$G,AS223,Compressors!$I:$I,AR223,Compressors!$D:$D,AQ223)</f>
        <v>#DIV/0!</v>
      </c>
      <c r="AU223">
        <f>AU219*0.9</f>
        <v>16.470000000000002</v>
      </c>
      <c r="AV223" t="e">
        <f>AT223/AT219</f>
        <v>#DIV/0!</v>
      </c>
      <c r="BB223" s="121">
        <v>125</v>
      </c>
      <c r="BC223" s="121">
        <v>19.399999618530298</v>
      </c>
      <c r="BD223" s="125">
        <v>125</v>
      </c>
      <c r="BE223" s="121"/>
      <c r="BF223" s="122">
        <v>150</v>
      </c>
      <c r="BG223" s="123">
        <v>17.5</v>
      </c>
      <c r="BH223" s="124">
        <v>115</v>
      </c>
      <c r="BI223" s="121">
        <f>BG223/BC238</f>
        <v>0.93085110160548268</v>
      </c>
      <c r="BJ223" s="121"/>
      <c r="BK223" s="121"/>
      <c r="BL223" s="121"/>
      <c r="BM223" s="121"/>
    </row>
    <row r="224" spans="1:65" x14ac:dyDescent="0.25">
      <c r="A224" s="120">
        <v>223</v>
      </c>
      <c r="B224" s="120" t="b">
        <v>0</v>
      </c>
      <c r="C224" s="120">
        <v>0</v>
      </c>
      <c r="D224" s="61">
        <v>1</v>
      </c>
      <c r="E224" s="120">
        <v>1</v>
      </c>
      <c r="F224" s="120" t="s">
        <v>173</v>
      </c>
      <c r="G224" s="55">
        <v>50</v>
      </c>
      <c r="H224" s="120">
        <v>186</v>
      </c>
      <c r="I224" s="57">
        <v>150</v>
      </c>
      <c r="J224" s="120">
        <v>150</v>
      </c>
      <c r="K224" s="120">
        <v>3</v>
      </c>
      <c r="L224" s="120">
        <v>40</v>
      </c>
      <c r="M224" s="120">
        <v>15</v>
      </c>
      <c r="N224" s="120">
        <v>40</v>
      </c>
      <c r="O224" s="120">
        <v>2</v>
      </c>
      <c r="P224" s="120">
        <v>16.666999816894499</v>
      </c>
      <c r="Q224" s="120">
        <v>55</v>
      </c>
      <c r="R224" s="120">
        <v>44.700000762939503</v>
      </c>
      <c r="S224" s="148">
        <v>24.100000381469702</v>
      </c>
      <c r="T224" s="120">
        <v>57</v>
      </c>
      <c r="U224" s="120">
        <v>19</v>
      </c>
      <c r="V224" s="120">
        <v>-9999</v>
      </c>
      <c r="W224" s="120">
        <v>-9999</v>
      </c>
      <c r="X224" s="120">
        <v>-9999</v>
      </c>
      <c r="Y224" s="120">
        <v>-9999</v>
      </c>
      <c r="Z224" s="120">
        <v>-9999</v>
      </c>
      <c r="AA224" s="120">
        <v>68</v>
      </c>
      <c r="AB224" s="120">
        <v>14.5</v>
      </c>
      <c r="AC224" s="120">
        <v>223</v>
      </c>
      <c r="AD224" s="120">
        <v>1495</v>
      </c>
      <c r="AE224" s="120">
        <v>-9999</v>
      </c>
      <c r="AF224" s="120">
        <v>-9999</v>
      </c>
      <c r="AG224" s="120">
        <v>-9999</v>
      </c>
      <c r="AQ224" s="61">
        <v>2</v>
      </c>
      <c r="AR224" s="61">
        <v>115</v>
      </c>
      <c r="AS224" s="61">
        <v>100</v>
      </c>
      <c r="AT224" s="61">
        <f>AVERAGEIFS(Compressors!$S:$S,Compressors!$G:$G,AS224,Compressors!$I:$I,AR224,Compressors!$D:$D,AQ224)</f>
        <v>17.399999618530298</v>
      </c>
      <c r="AU224" s="61">
        <v>17.399999999999999</v>
      </c>
      <c r="AV224">
        <f>AT224/AT220</f>
        <v>0.88775506529993053</v>
      </c>
      <c r="BB224" s="121">
        <v>125</v>
      </c>
      <c r="BC224" s="121">
        <v>19.399999618530298</v>
      </c>
      <c r="BD224" s="125">
        <v>125</v>
      </c>
      <c r="BE224" s="121"/>
      <c r="BF224" s="122">
        <v>150</v>
      </c>
      <c r="BG224" s="123">
        <v>17.5</v>
      </c>
      <c r="BH224" s="124">
        <v>115</v>
      </c>
      <c r="BI224" s="121"/>
      <c r="BJ224" s="121"/>
      <c r="BK224" s="121"/>
      <c r="BL224" s="121"/>
      <c r="BM224" s="121"/>
    </row>
    <row r="225" spans="1:65" x14ac:dyDescent="0.25">
      <c r="A225" s="120">
        <v>224</v>
      </c>
      <c r="B225" s="120" t="b">
        <v>0</v>
      </c>
      <c r="C225" s="120">
        <v>0</v>
      </c>
      <c r="D225" s="61">
        <v>1</v>
      </c>
      <c r="E225" s="120">
        <v>1</v>
      </c>
      <c r="F225" s="120" t="s">
        <v>173</v>
      </c>
      <c r="G225" s="55">
        <v>50</v>
      </c>
      <c r="H225" s="120">
        <v>177</v>
      </c>
      <c r="I225" s="57">
        <v>150</v>
      </c>
      <c r="J225" s="120">
        <v>160</v>
      </c>
      <c r="K225" s="120">
        <v>4</v>
      </c>
      <c r="L225" s="120">
        <v>100</v>
      </c>
      <c r="M225" s="120">
        <v>15</v>
      </c>
      <c r="N225" s="120">
        <v>40</v>
      </c>
      <c r="O225" s="120">
        <v>2</v>
      </c>
      <c r="P225" s="120">
        <v>-9999</v>
      </c>
      <c r="Q225" s="120">
        <v>52.5</v>
      </c>
      <c r="R225" s="120">
        <v>42.700000762939503</v>
      </c>
      <c r="S225" s="148">
        <v>24.100000381469702</v>
      </c>
      <c r="T225" s="120">
        <v>-9999</v>
      </c>
      <c r="U225" s="120">
        <v>19</v>
      </c>
      <c r="V225" s="120">
        <v>-9999</v>
      </c>
      <c r="W225" s="120">
        <v>-9999</v>
      </c>
      <c r="X225" s="120">
        <v>-9999</v>
      </c>
      <c r="Y225" s="120">
        <v>-9999</v>
      </c>
      <c r="Z225" s="120">
        <v>-9999</v>
      </c>
      <c r="AA225" s="120">
        <v>68</v>
      </c>
      <c r="AB225" s="120">
        <v>14.5</v>
      </c>
      <c r="AC225" s="120">
        <v>224</v>
      </c>
      <c r="AD225" s="120">
        <v>1496</v>
      </c>
      <c r="AE225" s="120">
        <v>-9999</v>
      </c>
      <c r="AF225" s="120">
        <v>-9999</v>
      </c>
      <c r="AG225" s="120">
        <v>-9999</v>
      </c>
      <c r="AQ225" s="61">
        <v>2</v>
      </c>
      <c r="AR225" s="61">
        <v>125</v>
      </c>
      <c r="AS225" s="61">
        <v>100</v>
      </c>
      <c r="AT225" s="61">
        <f>AVERAGEIFS(Compressors!$S:$S,Compressors!$G:$G,AS225,Compressors!$I:$I,AR225,Compressors!$D:$D,AQ225)</f>
        <v>17.799999237060501</v>
      </c>
      <c r="AU225" s="61">
        <v>17.8</v>
      </c>
      <c r="AV225">
        <f>AT225/AT221</f>
        <v>0.86829264571026832</v>
      </c>
      <c r="BB225" s="121">
        <v>125</v>
      </c>
      <c r="BC225" s="121">
        <v>19.399999618530298</v>
      </c>
      <c r="BD225" s="125">
        <v>125</v>
      </c>
      <c r="BE225" s="121"/>
      <c r="BF225" s="122">
        <v>150</v>
      </c>
      <c r="BG225" s="123">
        <v>17.5</v>
      </c>
      <c r="BH225" s="124">
        <v>115</v>
      </c>
      <c r="BI225" s="121"/>
      <c r="BJ225" s="121"/>
      <c r="BK225" s="121"/>
      <c r="BL225" s="121"/>
      <c r="BM225" s="121"/>
    </row>
    <row r="226" spans="1:65" x14ac:dyDescent="0.25">
      <c r="A226" s="120">
        <v>225</v>
      </c>
      <c r="B226" s="120" t="b">
        <v>0</v>
      </c>
      <c r="C226" s="120">
        <v>0</v>
      </c>
      <c r="D226" s="61">
        <v>1</v>
      </c>
      <c r="E226" s="120">
        <v>1</v>
      </c>
      <c r="F226" s="120" t="s">
        <v>173</v>
      </c>
      <c r="G226" s="55">
        <v>50</v>
      </c>
      <c r="H226" s="120">
        <v>177</v>
      </c>
      <c r="I226" s="57">
        <v>150</v>
      </c>
      <c r="J226" s="120">
        <v>160</v>
      </c>
      <c r="K226" s="120">
        <v>11</v>
      </c>
      <c r="L226" s="120">
        <v>60</v>
      </c>
      <c r="M226" s="120">
        <v>15</v>
      </c>
      <c r="N226" s="120">
        <v>40</v>
      </c>
      <c r="O226" s="120">
        <v>2</v>
      </c>
      <c r="P226" s="120">
        <v>25</v>
      </c>
      <c r="Q226" s="120">
        <v>52.5</v>
      </c>
      <c r="R226" s="120">
        <v>42.700000762939503</v>
      </c>
      <c r="S226" s="148">
        <v>24.100000381469702</v>
      </c>
      <c r="T226" s="120">
        <v>70</v>
      </c>
      <c r="U226" s="120">
        <v>19</v>
      </c>
      <c r="V226" s="120">
        <v>-9999</v>
      </c>
      <c r="W226" s="120">
        <v>-9999</v>
      </c>
      <c r="X226" s="120">
        <v>-9999</v>
      </c>
      <c r="Y226" s="120">
        <v>-9999</v>
      </c>
      <c r="Z226" s="120">
        <v>-9999</v>
      </c>
      <c r="AA226" s="120">
        <v>68</v>
      </c>
      <c r="AB226" s="120">
        <v>14.5</v>
      </c>
      <c r="AC226" s="120">
        <v>225</v>
      </c>
      <c r="AD226" s="120">
        <v>1497</v>
      </c>
      <c r="AE226" s="120">
        <v>-9999</v>
      </c>
      <c r="AF226" s="120">
        <v>-9999</v>
      </c>
      <c r="AG226" s="120">
        <v>-9999</v>
      </c>
      <c r="AQ226" s="61">
        <v>4</v>
      </c>
      <c r="AR226" s="61">
        <v>100</v>
      </c>
      <c r="AS226" s="61">
        <v>100</v>
      </c>
      <c r="AT226" s="61" t="e">
        <f>AVERAGEIFS(Compressors!$S:$S,Compressors!$G:$G,AS226,Compressors!$I:$I,AR226,Compressors!$D:$D,AQ226)</f>
        <v>#DIV/0!</v>
      </c>
      <c r="AU226" s="53">
        <f>AU218*$BE$209</f>
        <v>0</v>
      </c>
      <c r="BB226" s="121">
        <v>125</v>
      </c>
      <c r="BC226" s="121">
        <v>19.399999618530298</v>
      </c>
      <c r="BD226" s="125">
        <v>125</v>
      </c>
      <c r="BE226" s="121"/>
      <c r="BF226" s="122">
        <v>150</v>
      </c>
      <c r="BG226" s="123">
        <v>17.5</v>
      </c>
      <c r="BH226" s="124">
        <v>115</v>
      </c>
      <c r="BI226" s="121"/>
      <c r="BJ226" s="121"/>
      <c r="BK226" s="121"/>
      <c r="BL226" s="121"/>
      <c r="BM226" s="121"/>
    </row>
    <row r="227" spans="1:65" x14ac:dyDescent="0.25">
      <c r="A227" s="120">
        <v>226</v>
      </c>
      <c r="B227" s="120" t="b">
        <v>0</v>
      </c>
      <c r="C227" s="120">
        <v>0</v>
      </c>
      <c r="D227" s="61">
        <v>1</v>
      </c>
      <c r="E227" s="120">
        <v>1</v>
      </c>
      <c r="F227" s="120" t="s">
        <v>173</v>
      </c>
      <c r="G227" s="55">
        <v>50</v>
      </c>
      <c r="H227" s="120">
        <v>158</v>
      </c>
      <c r="I227" s="57">
        <v>175</v>
      </c>
      <c r="J227" s="120">
        <v>185</v>
      </c>
      <c r="K227" s="120">
        <v>1</v>
      </c>
      <c r="L227" s="120">
        <v>50</v>
      </c>
      <c r="M227" s="120">
        <v>15</v>
      </c>
      <c r="N227" s="120">
        <v>40</v>
      </c>
      <c r="O227" s="120">
        <v>2</v>
      </c>
      <c r="P227" s="120">
        <v>5</v>
      </c>
      <c r="Q227" s="120">
        <v>52.5</v>
      </c>
      <c r="R227" s="120">
        <v>42.700000762939503</v>
      </c>
      <c r="S227" s="148">
        <v>27</v>
      </c>
      <c r="T227" s="120">
        <v>65</v>
      </c>
      <c r="U227" s="120">
        <v>18</v>
      </c>
      <c r="V227" s="120">
        <v>-9999</v>
      </c>
      <c r="W227" s="120">
        <v>-9999</v>
      </c>
      <c r="X227" s="120">
        <v>-9999</v>
      </c>
      <c r="Y227" s="120">
        <v>-9999</v>
      </c>
      <c r="Z227" s="120">
        <v>-9999</v>
      </c>
      <c r="AA227" s="120">
        <v>68</v>
      </c>
      <c r="AB227" s="120">
        <v>14.5</v>
      </c>
      <c r="AC227" s="120">
        <v>226</v>
      </c>
      <c r="AD227" s="120">
        <v>1498</v>
      </c>
      <c r="AE227" s="120">
        <v>-9999</v>
      </c>
      <c r="AF227" s="120">
        <v>-9999</v>
      </c>
      <c r="AG227" s="120">
        <v>-9999</v>
      </c>
      <c r="AQ227" s="61">
        <v>4</v>
      </c>
      <c r="AR227" s="61">
        <v>110</v>
      </c>
      <c r="AS227" s="61">
        <v>100</v>
      </c>
      <c r="AT227" s="61" t="e">
        <f>AVERAGEIFS(Compressors!$S:$S,Compressors!$G:$G,AS227,Compressors!$I:$I,AR227,Compressors!$D:$D,AQ227)</f>
        <v>#DIV/0!</v>
      </c>
      <c r="AU227" s="53">
        <f>AU219*$BE$209</f>
        <v>0</v>
      </c>
      <c r="BB227" s="121">
        <v>125</v>
      </c>
      <c r="BC227" s="121">
        <v>19.399999618530298</v>
      </c>
      <c r="BD227" s="125">
        <v>125</v>
      </c>
      <c r="BE227" s="121"/>
      <c r="BF227" s="122">
        <v>150</v>
      </c>
      <c r="BG227" s="123">
        <v>17.5</v>
      </c>
      <c r="BH227" s="124">
        <v>115</v>
      </c>
      <c r="BI227" s="121"/>
      <c r="BJ227" s="121"/>
      <c r="BK227" s="121"/>
      <c r="BL227" s="121"/>
      <c r="BM227" s="121"/>
    </row>
    <row r="228" spans="1:65" x14ac:dyDescent="0.25">
      <c r="A228" s="120">
        <v>227</v>
      </c>
      <c r="B228" s="120" t="b">
        <v>0</v>
      </c>
      <c r="C228" s="120">
        <v>0</v>
      </c>
      <c r="D228" s="61">
        <v>1</v>
      </c>
      <c r="E228" s="120">
        <v>1</v>
      </c>
      <c r="F228" s="120" t="s">
        <v>173</v>
      </c>
      <c r="G228" s="55">
        <v>50</v>
      </c>
      <c r="H228" s="120">
        <v>166</v>
      </c>
      <c r="I228" s="57">
        <v>175</v>
      </c>
      <c r="J228" s="120">
        <v>175</v>
      </c>
      <c r="K228" s="120">
        <v>2</v>
      </c>
      <c r="L228" s="120">
        <v>50</v>
      </c>
      <c r="M228" s="120">
        <v>15</v>
      </c>
      <c r="N228" s="120">
        <v>40</v>
      </c>
      <c r="O228" s="120">
        <v>2</v>
      </c>
      <c r="P228" s="120">
        <v>20</v>
      </c>
      <c r="Q228" s="120">
        <v>55</v>
      </c>
      <c r="R228" s="120">
        <v>44.700000762939503</v>
      </c>
      <c r="S228" s="148">
        <v>27</v>
      </c>
      <c r="T228" s="120">
        <v>65</v>
      </c>
      <c r="U228" s="120">
        <v>18</v>
      </c>
      <c r="V228" s="120">
        <v>-9999</v>
      </c>
      <c r="W228" s="120">
        <v>-9999</v>
      </c>
      <c r="X228" s="120">
        <v>-9999</v>
      </c>
      <c r="Y228" s="120">
        <v>-9999</v>
      </c>
      <c r="Z228" s="120">
        <v>-9999</v>
      </c>
      <c r="AA228" s="120">
        <v>68</v>
      </c>
      <c r="AB228" s="120">
        <v>14.5</v>
      </c>
      <c r="AC228" s="120">
        <v>227</v>
      </c>
      <c r="AD228" s="120">
        <v>1499</v>
      </c>
      <c r="AE228" s="120">
        <v>-9999</v>
      </c>
      <c r="AF228" s="120">
        <v>-9999</v>
      </c>
      <c r="AG228" s="120">
        <v>-9999</v>
      </c>
      <c r="AQ228" s="61">
        <v>4</v>
      </c>
      <c r="AR228" s="61">
        <v>115</v>
      </c>
      <c r="AS228" s="61">
        <v>100</v>
      </c>
      <c r="AT228" s="61" t="e">
        <f>AVERAGEIFS(Compressors!$S:$S,Compressors!$G:$G,AS228,Compressors!$I:$I,AR228,Compressors!$D:$D,AQ228)</f>
        <v>#DIV/0!</v>
      </c>
      <c r="AU228" s="53">
        <f>AU220*$BE$209</f>
        <v>0</v>
      </c>
      <c r="BB228" s="121">
        <v>150</v>
      </c>
      <c r="BC228" s="121">
        <v>17.299999237060501</v>
      </c>
      <c r="BD228" s="125">
        <v>100</v>
      </c>
      <c r="BE228" s="121"/>
      <c r="BF228" s="122">
        <v>150</v>
      </c>
      <c r="BG228" s="123">
        <v>17.799999237060501</v>
      </c>
      <c r="BH228" s="124">
        <v>125</v>
      </c>
      <c r="BI228" s="121">
        <f>BG228/BC245</f>
        <v>0.90355322577177943</v>
      </c>
      <c r="BJ228" s="121"/>
      <c r="BK228" s="121"/>
      <c r="BL228" s="121"/>
      <c r="BM228" s="121"/>
    </row>
    <row r="229" spans="1:65" x14ac:dyDescent="0.25">
      <c r="A229" s="120">
        <v>228</v>
      </c>
      <c r="B229" s="120" t="b">
        <v>0</v>
      </c>
      <c r="C229" s="120">
        <v>0</v>
      </c>
      <c r="D229" s="61">
        <v>1</v>
      </c>
      <c r="E229" s="120">
        <v>1</v>
      </c>
      <c r="F229" s="120" t="s">
        <v>173</v>
      </c>
      <c r="G229" s="55">
        <v>50</v>
      </c>
      <c r="H229" s="120">
        <v>166</v>
      </c>
      <c r="I229" s="57">
        <v>175</v>
      </c>
      <c r="J229" s="120">
        <v>175</v>
      </c>
      <c r="K229" s="120">
        <v>3</v>
      </c>
      <c r="L229" s="120">
        <v>40</v>
      </c>
      <c r="M229" s="120">
        <v>15</v>
      </c>
      <c r="N229" s="120">
        <v>40</v>
      </c>
      <c r="O229" s="120">
        <v>2</v>
      </c>
      <c r="P229" s="120">
        <v>16.666999816894499</v>
      </c>
      <c r="Q229" s="120">
        <v>55</v>
      </c>
      <c r="R229" s="120">
        <v>44.700000762939503</v>
      </c>
      <c r="S229" s="148">
        <v>27</v>
      </c>
      <c r="T229" s="120">
        <v>57</v>
      </c>
      <c r="U229" s="120">
        <v>18</v>
      </c>
      <c r="V229" s="120">
        <v>-9999</v>
      </c>
      <c r="W229" s="120">
        <v>-9999</v>
      </c>
      <c r="X229" s="120">
        <v>-9999</v>
      </c>
      <c r="Y229" s="120">
        <v>-9999</v>
      </c>
      <c r="Z229" s="120">
        <v>-9999</v>
      </c>
      <c r="AA229" s="120">
        <v>68</v>
      </c>
      <c r="AB229" s="120">
        <v>14.5</v>
      </c>
      <c r="AC229" s="120">
        <v>228</v>
      </c>
      <c r="AD229" s="120">
        <v>1500</v>
      </c>
      <c r="AE229" s="120">
        <v>-9999</v>
      </c>
      <c r="AF229" s="120">
        <v>-9999</v>
      </c>
      <c r="AG229" s="120">
        <v>-9999</v>
      </c>
      <c r="AQ229" s="61">
        <v>4</v>
      </c>
      <c r="AR229" s="61">
        <v>125</v>
      </c>
      <c r="AS229" s="61">
        <v>100</v>
      </c>
      <c r="AT229" s="61" t="e">
        <f>AVERAGEIFS(Compressors!$S:$S,Compressors!$G:$G,AS229,Compressors!$I:$I,AR229,Compressors!$D:$D,AQ229)</f>
        <v>#DIV/0!</v>
      </c>
      <c r="AU229" s="53">
        <f>AU221*$BE$209</f>
        <v>0</v>
      </c>
      <c r="BB229" s="121">
        <v>150</v>
      </c>
      <c r="BC229" s="121">
        <v>17.299999237060501</v>
      </c>
      <c r="BD229" s="125">
        <v>100</v>
      </c>
      <c r="BE229" s="121"/>
      <c r="BF229" s="122">
        <v>150</v>
      </c>
      <c r="BG229" s="123">
        <v>17.799999237060501</v>
      </c>
      <c r="BH229" s="124">
        <v>125</v>
      </c>
      <c r="BI229" s="121"/>
      <c r="BJ229" s="121"/>
      <c r="BK229" s="121"/>
      <c r="BL229" s="121"/>
      <c r="BM229" s="121"/>
    </row>
    <row r="230" spans="1:65" x14ac:dyDescent="0.25">
      <c r="A230" s="120">
        <v>229</v>
      </c>
      <c r="B230" s="120" t="b">
        <v>0</v>
      </c>
      <c r="C230" s="120">
        <v>0</v>
      </c>
      <c r="D230" s="61">
        <v>1</v>
      </c>
      <c r="E230" s="120">
        <v>1</v>
      </c>
      <c r="F230" s="120" t="s">
        <v>173</v>
      </c>
      <c r="G230" s="55">
        <v>50</v>
      </c>
      <c r="H230" s="120">
        <v>158</v>
      </c>
      <c r="I230" s="57">
        <v>175</v>
      </c>
      <c r="J230" s="120">
        <v>185</v>
      </c>
      <c r="K230" s="120">
        <v>4</v>
      </c>
      <c r="L230" s="120">
        <v>100</v>
      </c>
      <c r="M230" s="120">
        <v>15</v>
      </c>
      <c r="N230" s="120">
        <v>40</v>
      </c>
      <c r="O230" s="120">
        <v>2</v>
      </c>
      <c r="P230" s="120">
        <v>-9999</v>
      </c>
      <c r="Q230" s="120">
        <v>52.5</v>
      </c>
      <c r="R230" s="120">
        <v>42.700000762939503</v>
      </c>
      <c r="S230" s="148">
        <v>27</v>
      </c>
      <c r="T230" s="120">
        <v>-9999</v>
      </c>
      <c r="U230" s="120">
        <v>18</v>
      </c>
      <c r="V230" s="120">
        <v>-9999</v>
      </c>
      <c r="W230" s="120">
        <v>-9999</v>
      </c>
      <c r="X230" s="120">
        <v>-9999</v>
      </c>
      <c r="Y230" s="120">
        <v>-9999</v>
      </c>
      <c r="Z230" s="120">
        <v>-9999</v>
      </c>
      <c r="AA230" s="120">
        <v>68</v>
      </c>
      <c r="AB230" s="120">
        <v>14.5</v>
      </c>
      <c r="AC230" s="120">
        <v>229</v>
      </c>
      <c r="AD230" s="120">
        <v>1501</v>
      </c>
      <c r="AE230" s="120">
        <v>-9999</v>
      </c>
      <c r="AF230" s="120">
        <v>-9999</v>
      </c>
      <c r="AG230" s="120">
        <v>-9999</v>
      </c>
      <c r="AQ230" s="61">
        <v>5</v>
      </c>
      <c r="AR230" s="61">
        <v>100</v>
      </c>
      <c r="AS230" s="61">
        <v>100</v>
      </c>
      <c r="AT230" s="61">
        <f>AVERAGEIFS(Compressors!$S:$S,Compressors!$G:$G,AS230,Compressors!$I:$I,AR230,Compressors!$D:$D,AQ230)</f>
        <v>15.699999809265099</v>
      </c>
      <c r="AU230" s="61">
        <v>15.699999809265099</v>
      </c>
      <c r="BB230" s="121">
        <v>150</v>
      </c>
      <c r="BC230" s="121">
        <v>17.299999237060501</v>
      </c>
      <c r="BD230" s="125">
        <v>100</v>
      </c>
      <c r="BE230" s="121"/>
      <c r="BF230" s="122">
        <v>150</v>
      </c>
      <c r="BG230" s="123">
        <v>17.799999237060501</v>
      </c>
      <c r="BH230" s="124">
        <v>125</v>
      </c>
      <c r="BI230" s="121"/>
      <c r="BJ230" s="121"/>
      <c r="BK230" s="121"/>
      <c r="BL230" s="121"/>
      <c r="BM230" s="121"/>
    </row>
    <row r="231" spans="1:65" x14ac:dyDescent="0.25">
      <c r="A231" s="120">
        <v>230</v>
      </c>
      <c r="B231" s="120" t="b">
        <v>0</v>
      </c>
      <c r="C231" s="120">
        <v>0</v>
      </c>
      <c r="D231" s="61">
        <v>1</v>
      </c>
      <c r="E231" s="120">
        <v>1</v>
      </c>
      <c r="F231" s="120" t="s">
        <v>173</v>
      </c>
      <c r="G231" s="55">
        <v>50</v>
      </c>
      <c r="H231" s="120">
        <v>158</v>
      </c>
      <c r="I231" s="57">
        <v>175</v>
      </c>
      <c r="J231" s="120">
        <v>185</v>
      </c>
      <c r="K231" s="120">
        <v>11</v>
      </c>
      <c r="L231" s="120">
        <v>60</v>
      </c>
      <c r="M231" s="120">
        <v>15</v>
      </c>
      <c r="N231" s="120">
        <v>40</v>
      </c>
      <c r="O231" s="120">
        <v>2</v>
      </c>
      <c r="P231" s="120">
        <v>25</v>
      </c>
      <c r="Q231" s="120">
        <v>52.5</v>
      </c>
      <c r="R231" s="120">
        <v>42.700000762939503</v>
      </c>
      <c r="S231" s="148">
        <v>27</v>
      </c>
      <c r="T231" s="120">
        <v>70</v>
      </c>
      <c r="U231" s="120">
        <v>18</v>
      </c>
      <c r="V231" s="120">
        <v>-9999</v>
      </c>
      <c r="W231" s="120">
        <v>-9999</v>
      </c>
      <c r="X231" s="120">
        <v>-9999</v>
      </c>
      <c r="Y231" s="120">
        <v>-9999</v>
      </c>
      <c r="Z231" s="120">
        <v>-9999</v>
      </c>
      <c r="AA231" s="120">
        <v>68</v>
      </c>
      <c r="AB231" s="120">
        <v>14.5</v>
      </c>
      <c r="AC231" s="120">
        <v>230</v>
      </c>
      <c r="AD231" s="120">
        <v>1502</v>
      </c>
      <c r="AE231" s="120">
        <v>-9999</v>
      </c>
      <c r="AF231" s="120">
        <v>-9999</v>
      </c>
      <c r="AG231" s="120">
        <v>-9999</v>
      </c>
      <c r="AQ231" s="61">
        <v>5</v>
      </c>
      <c r="AR231" s="61">
        <v>110</v>
      </c>
      <c r="AS231" s="61">
        <v>100</v>
      </c>
      <c r="AT231" s="61">
        <f>AVERAGEIFS(Compressors!$S:$S,Compressors!$G:$G,AS231,Compressors!$I:$I,AR231,Compressors!$D:$D,AQ231)</f>
        <v>16.399999618530298</v>
      </c>
      <c r="AU231" s="61">
        <v>16.399999618530298</v>
      </c>
      <c r="BB231" s="121">
        <v>150</v>
      </c>
      <c r="BC231" s="121">
        <v>17.299999237060501</v>
      </c>
      <c r="BD231" s="125">
        <v>100</v>
      </c>
      <c r="BE231" s="121"/>
      <c r="BF231" s="122">
        <v>150</v>
      </c>
      <c r="BG231" s="123">
        <v>17.799999237060501</v>
      </c>
      <c r="BH231" s="124">
        <v>125</v>
      </c>
      <c r="BI231" s="121"/>
      <c r="BJ231" s="121"/>
      <c r="BK231" s="121"/>
      <c r="BL231" s="121"/>
      <c r="BM231" s="121"/>
    </row>
    <row r="232" spans="1:65" x14ac:dyDescent="0.25">
      <c r="A232" s="120">
        <v>231</v>
      </c>
      <c r="B232" s="120" t="b">
        <v>0</v>
      </c>
      <c r="C232" s="120">
        <v>0</v>
      </c>
      <c r="D232" s="61">
        <v>1</v>
      </c>
      <c r="E232" s="120">
        <v>1</v>
      </c>
      <c r="F232" s="120" t="s">
        <v>173</v>
      </c>
      <c r="G232" s="55">
        <v>50</v>
      </c>
      <c r="H232" s="120">
        <v>128</v>
      </c>
      <c r="I232" s="57">
        <v>200</v>
      </c>
      <c r="J232" s="120">
        <v>210</v>
      </c>
      <c r="K232" s="120">
        <v>1</v>
      </c>
      <c r="L232" s="120">
        <v>50</v>
      </c>
      <c r="M232" s="120">
        <v>15</v>
      </c>
      <c r="N232" s="120">
        <v>40</v>
      </c>
      <c r="O232" s="120">
        <v>2</v>
      </c>
      <c r="P232" s="120">
        <v>5</v>
      </c>
      <c r="Q232" s="120">
        <v>52.5</v>
      </c>
      <c r="R232" s="120">
        <v>42.700000762939503</v>
      </c>
      <c r="S232" s="148">
        <v>33.400001525878899</v>
      </c>
      <c r="T232" s="120">
        <v>65</v>
      </c>
      <c r="U232" s="120">
        <v>18</v>
      </c>
      <c r="V232" s="120">
        <v>-9999</v>
      </c>
      <c r="W232" s="120">
        <v>-9999</v>
      </c>
      <c r="X232" s="120">
        <v>-9999</v>
      </c>
      <c r="Y232" s="120">
        <v>-9999</v>
      </c>
      <c r="Z232" s="120">
        <v>-9999</v>
      </c>
      <c r="AA232" s="120">
        <v>68</v>
      </c>
      <c r="AB232" s="120">
        <v>14.5</v>
      </c>
      <c r="AC232" s="120">
        <v>231</v>
      </c>
      <c r="AD232" s="120">
        <v>1503</v>
      </c>
      <c r="AE232" s="120">
        <v>-9999</v>
      </c>
      <c r="AF232" s="120">
        <v>-9999</v>
      </c>
      <c r="AG232" s="120">
        <v>-9999</v>
      </c>
      <c r="AQ232" s="61">
        <v>5</v>
      </c>
      <c r="AR232" s="61">
        <v>115</v>
      </c>
      <c r="AS232" s="61">
        <v>100</v>
      </c>
      <c r="AT232" s="61">
        <f>AVERAGEIFS(Compressors!$S:$S,Compressors!$G:$G,AS232,Compressors!$I:$I,AR232,Compressors!$D:$D,AQ232)</f>
        <v>16.600000381469702</v>
      </c>
      <c r="AU232" s="61">
        <v>16.600000381469702</v>
      </c>
      <c r="BB232" s="121">
        <v>150</v>
      </c>
      <c r="BC232" s="121">
        <v>17.299999237060501</v>
      </c>
      <c r="BD232" s="125">
        <v>100</v>
      </c>
      <c r="BE232" s="121"/>
      <c r="BF232" s="122">
        <v>150</v>
      </c>
      <c r="BG232" s="123">
        <v>17.799999237060501</v>
      </c>
      <c r="BH232" s="124">
        <v>125</v>
      </c>
      <c r="BI232" s="121"/>
      <c r="BJ232" s="121"/>
      <c r="BK232" s="121"/>
      <c r="BL232" s="121"/>
      <c r="BM232" s="121"/>
    </row>
    <row r="233" spans="1:65" x14ac:dyDescent="0.25">
      <c r="A233" s="120">
        <v>232</v>
      </c>
      <c r="B233" s="120" t="b">
        <v>0</v>
      </c>
      <c r="C233" s="120">
        <v>0</v>
      </c>
      <c r="D233" s="61">
        <v>1</v>
      </c>
      <c r="E233" s="120">
        <v>1</v>
      </c>
      <c r="F233" s="120" t="s">
        <v>173</v>
      </c>
      <c r="G233" s="55">
        <v>50</v>
      </c>
      <c r="H233" s="120">
        <v>134</v>
      </c>
      <c r="I233" s="57">
        <v>200</v>
      </c>
      <c r="J233" s="120">
        <v>200</v>
      </c>
      <c r="K233" s="120">
        <v>2</v>
      </c>
      <c r="L233" s="120">
        <v>50</v>
      </c>
      <c r="M233" s="120">
        <v>15</v>
      </c>
      <c r="N233" s="120">
        <v>40</v>
      </c>
      <c r="O233" s="120">
        <v>2</v>
      </c>
      <c r="P233" s="120">
        <v>20</v>
      </c>
      <c r="Q233" s="120">
        <v>55</v>
      </c>
      <c r="R233" s="120">
        <v>44.700000762939503</v>
      </c>
      <c r="S233" s="148">
        <v>33.400001525878899</v>
      </c>
      <c r="T233" s="120">
        <v>65</v>
      </c>
      <c r="U233" s="120">
        <v>18</v>
      </c>
      <c r="V233" s="120">
        <v>-9999</v>
      </c>
      <c r="W233" s="120">
        <v>-9999</v>
      </c>
      <c r="X233" s="120">
        <v>-9999</v>
      </c>
      <c r="Y233" s="120">
        <v>-9999</v>
      </c>
      <c r="Z233" s="120">
        <v>-9999</v>
      </c>
      <c r="AA233" s="120">
        <v>68</v>
      </c>
      <c r="AB233" s="120">
        <v>14.5</v>
      </c>
      <c r="AC233" s="120">
        <v>232</v>
      </c>
      <c r="AD233" s="120">
        <v>1504</v>
      </c>
      <c r="AE233" s="120">
        <v>-9999</v>
      </c>
      <c r="AF233" s="120">
        <v>-9999</v>
      </c>
      <c r="AG233" s="120">
        <v>-9999</v>
      </c>
      <c r="AQ233" s="61">
        <v>5</v>
      </c>
      <c r="AR233" s="61">
        <v>125</v>
      </c>
      <c r="AS233" s="61">
        <v>100</v>
      </c>
      <c r="AT233" s="61">
        <f>AVERAGEIFS(Compressors!$S:$S,Compressors!$G:$G,AS233,Compressors!$I:$I,AR233,Compressors!$D:$D,AQ233)</f>
        <v>17.200000762939499</v>
      </c>
      <c r="AU233" s="61">
        <v>17.200000762939499</v>
      </c>
      <c r="BB233" s="121">
        <v>150</v>
      </c>
      <c r="BC233" s="121">
        <v>17.899999618530298</v>
      </c>
      <c r="BD233" s="125">
        <v>110</v>
      </c>
      <c r="BE233" s="121"/>
      <c r="BF233" s="122">
        <v>200</v>
      </c>
      <c r="BG233" s="123">
        <v>15.8999996185303</v>
      </c>
      <c r="BH233" s="124">
        <v>100</v>
      </c>
      <c r="BI233" s="121">
        <f>BG234/BC250</f>
        <v>0.91907516299011816</v>
      </c>
      <c r="BJ233" s="121"/>
      <c r="BK233" s="121"/>
      <c r="BL233" s="121"/>
      <c r="BM233" s="121"/>
    </row>
    <row r="234" spans="1:65" x14ac:dyDescent="0.25">
      <c r="A234" s="120">
        <v>233</v>
      </c>
      <c r="B234" s="120" t="b">
        <v>0</v>
      </c>
      <c r="C234" s="120">
        <v>0</v>
      </c>
      <c r="D234" s="61">
        <v>1</v>
      </c>
      <c r="E234" s="120">
        <v>1</v>
      </c>
      <c r="F234" s="120" t="s">
        <v>173</v>
      </c>
      <c r="G234" s="55">
        <v>50</v>
      </c>
      <c r="H234" s="120">
        <v>134</v>
      </c>
      <c r="I234" s="57">
        <v>200</v>
      </c>
      <c r="J234" s="120">
        <v>200</v>
      </c>
      <c r="K234" s="120">
        <v>3</v>
      </c>
      <c r="L234" s="120">
        <v>40</v>
      </c>
      <c r="M234" s="120">
        <v>15</v>
      </c>
      <c r="N234" s="120">
        <v>40</v>
      </c>
      <c r="O234" s="120">
        <v>2</v>
      </c>
      <c r="P234" s="120">
        <v>16.666999816894499</v>
      </c>
      <c r="Q234" s="120">
        <v>55</v>
      </c>
      <c r="R234" s="120">
        <v>44.700000762939503</v>
      </c>
      <c r="S234" s="148">
        <v>33.400001525878899</v>
      </c>
      <c r="T234" s="120">
        <v>57</v>
      </c>
      <c r="U234" s="120">
        <v>18</v>
      </c>
      <c r="V234" s="120">
        <v>-9999</v>
      </c>
      <c r="W234" s="120">
        <v>-9999</v>
      </c>
      <c r="X234" s="120">
        <v>-9999</v>
      </c>
      <c r="Y234" s="120">
        <v>-9999</v>
      </c>
      <c r="Z234" s="120">
        <v>-9999</v>
      </c>
      <c r="AA234" s="120">
        <v>68</v>
      </c>
      <c r="AB234" s="120">
        <v>14.5</v>
      </c>
      <c r="AC234" s="120">
        <v>233</v>
      </c>
      <c r="AD234" s="120">
        <v>1505</v>
      </c>
      <c r="AE234" s="120">
        <v>-9999</v>
      </c>
      <c r="AF234" s="120">
        <v>-9999</v>
      </c>
      <c r="AG234" s="120">
        <v>-9999</v>
      </c>
      <c r="AQ234" s="61">
        <v>6</v>
      </c>
      <c r="AR234" s="61">
        <v>100</v>
      </c>
      <c r="AS234" s="61">
        <v>100</v>
      </c>
      <c r="AT234" s="61" t="e">
        <f>AVERAGEIFS(Compressors!$S:$S,Compressors!$G:$G,AS234,Compressors!$I:$I,AR234,Compressors!$D:$D,AQ234)</f>
        <v>#DIV/0!</v>
      </c>
      <c r="AU234" s="53"/>
      <c r="BB234" s="121">
        <v>150</v>
      </c>
      <c r="BC234" s="121">
        <v>17.899999618530298</v>
      </c>
      <c r="BD234" s="125">
        <v>110</v>
      </c>
      <c r="BE234" s="121"/>
      <c r="BF234" s="122">
        <v>200</v>
      </c>
      <c r="BG234" s="123">
        <v>15.8999996185303</v>
      </c>
      <c r="BH234" s="124">
        <v>100</v>
      </c>
      <c r="BI234" s="121"/>
      <c r="BJ234" s="121"/>
      <c r="BK234" s="121"/>
      <c r="BL234" s="121"/>
      <c r="BM234" s="121"/>
    </row>
    <row r="235" spans="1:65" x14ac:dyDescent="0.25">
      <c r="A235" s="120">
        <v>234</v>
      </c>
      <c r="B235" s="120" t="b">
        <v>0</v>
      </c>
      <c r="C235" s="120">
        <v>0</v>
      </c>
      <c r="D235" s="61">
        <v>1</v>
      </c>
      <c r="E235" s="120">
        <v>1</v>
      </c>
      <c r="F235" s="120" t="s">
        <v>173</v>
      </c>
      <c r="G235" s="55">
        <v>50</v>
      </c>
      <c r="H235" s="120">
        <v>128</v>
      </c>
      <c r="I235" s="57">
        <v>200</v>
      </c>
      <c r="J235" s="120">
        <v>210</v>
      </c>
      <c r="K235" s="120">
        <v>4</v>
      </c>
      <c r="L235" s="120">
        <v>100</v>
      </c>
      <c r="M235" s="120">
        <v>15</v>
      </c>
      <c r="N235" s="120">
        <v>40</v>
      </c>
      <c r="O235" s="120">
        <v>2</v>
      </c>
      <c r="P235" s="120">
        <v>-9999</v>
      </c>
      <c r="Q235" s="120">
        <v>52.5</v>
      </c>
      <c r="R235" s="120">
        <v>42.700000762939503</v>
      </c>
      <c r="S235" s="148">
        <v>33.400001525878899</v>
      </c>
      <c r="T235" s="120">
        <v>-9999</v>
      </c>
      <c r="U235" s="120">
        <v>18</v>
      </c>
      <c r="V235" s="120">
        <v>-9999</v>
      </c>
      <c r="W235" s="120">
        <v>-9999</v>
      </c>
      <c r="X235" s="120">
        <v>-9999</v>
      </c>
      <c r="Y235" s="120">
        <v>-9999</v>
      </c>
      <c r="Z235" s="120">
        <v>-9999</v>
      </c>
      <c r="AA235" s="120">
        <v>68</v>
      </c>
      <c r="AB235" s="120">
        <v>14.5</v>
      </c>
      <c r="AC235" s="120">
        <v>234</v>
      </c>
      <c r="AD235" s="120">
        <v>1506</v>
      </c>
      <c r="AE235" s="120">
        <v>-9999</v>
      </c>
      <c r="AF235" s="120">
        <v>-9999</v>
      </c>
      <c r="AG235" s="120">
        <v>-9999</v>
      </c>
      <c r="AQ235" s="61">
        <v>6</v>
      </c>
      <c r="AR235" s="61">
        <v>110</v>
      </c>
      <c r="AS235" s="61">
        <v>100</v>
      </c>
      <c r="AT235" s="61" t="e">
        <f>AVERAGEIFS(Compressors!$S:$S,Compressors!$G:$G,AS235,Compressors!$I:$I,AR235,Compressors!$D:$D,AQ235)</f>
        <v>#DIV/0!</v>
      </c>
      <c r="AU235" s="53"/>
      <c r="BB235" s="121">
        <v>150</v>
      </c>
      <c r="BC235" s="121">
        <v>17.899999618530298</v>
      </c>
      <c r="BD235" s="125">
        <v>110</v>
      </c>
      <c r="BE235" s="121"/>
      <c r="BF235" s="122">
        <v>200</v>
      </c>
      <c r="BG235" s="123">
        <v>15.8999996185303</v>
      </c>
      <c r="BH235" s="124">
        <v>100</v>
      </c>
      <c r="BI235" s="121"/>
      <c r="BJ235" s="121"/>
      <c r="BK235" s="121"/>
      <c r="BL235" s="121"/>
      <c r="BM235" s="121"/>
    </row>
    <row r="236" spans="1:65" x14ac:dyDescent="0.25">
      <c r="A236" s="120">
        <v>235</v>
      </c>
      <c r="B236" s="120" t="b">
        <v>0</v>
      </c>
      <c r="C236" s="120">
        <v>0</v>
      </c>
      <c r="D236" s="61">
        <v>1</v>
      </c>
      <c r="E236" s="120">
        <v>1</v>
      </c>
      <c r="F236" s="120" t="s">
        <v>173</v>
      </c>
      <c r="G236" s="55">
        <v>50</v>
      </c>
      <c r="H236" s="120">
        <v>128</v>
      </c>
      <c r="I236" s="57">
        <v>200</v>
      </c>
      <c r="J236" s="120">
        <v>210</v>
      </c>
      <c r="K236" s="120">
        <v>11</v>
      </c>
      <c r="L236" s="120">
        <v>60</v>
      </c>
      <c r="M236" s="120">
        <v>15</v>
      </c>
      <c r="N236" s="120">
        <v>40</v>
      </c>
      <c r="O236" s="120">
        <v>2</v>
      </c>
      <c r="P236" s="120">
        <v>25</v>
      </c>
      <c r="Q236" s="120">
        <v>52.5</v>
      </c>
      <c r="R236" s="120">
        <v>42.700000762939503</v>
      </c>
      <c r="S236" s="148">
        <v>33.400001525878899</v>
      </c>
      <c r="T236" s="120">
        <v>70</v>
      </c>
      <c r="U236" s="120">
        <v>18</v>
      </c>
      <c r="V236" s="120">
        <v>-9999</v>
      </c>
      <c r="W236" s="120">
        <v>-9999</v>
      </c>
      <c r="X236" s="120">
        <v>-9999</v>
      </c>
      <c r="Y236" s="120">
        <v>-9999</v>
      </c>
      <c r="Z236" s="120">
        <v>-9999</v>
      </c>
      <c r="AA236" s="120">
        <v>68</v>
      </c>
      <c r="AB236" s="120">
        <v>14.5</v>
      </c>
      <c r="AC236" s="120">
        <v>235</v>
      </c>
      <c r="AD236" s="120">
        <v>1507</v>
      </c>
      <c r="AE236" s="120">
        <v>-9999</v>
      </c>
      <c r="AF236" s="120">
        <v>-9999</v>
      </c>
      <c r="AG236" s="120">
        <v>-9999</v>
      </c>
      <c r="AQ236" s="61">
        <v>6</v>
      </c>
      <c r="AR236" s="61">
        <v>115</v>
      </c>
      <c r="AS236" s="61">
        <v>100</v>
      </c>
      <c r="AT236" s="61" t="e">
        <f>AVERAGEIFS(Compressors!$S:$S,Compressors!$G:$G,AS236,Compressors!$I:$I,AR236,Compressors!$D:$D,AQ236)</f>
        <v>#DIV/0!</v>
      </c>
      <c r="AU236" s="53"/>
      <c r="BB236" s="121">
        <v>150</v>
      </c>
      <c r="BC236" s="121">
        <v>17.899999618530298</v>
      </c>
      <c r="BD236" s="125">
        <v>110</v>
      </c>
      <c r="BE236" s="121"/>
      <c r="BF236" s="122">
        <v>200</v>
      </c>
      <c r="BG236" s="123">
        <v>15.8999996185303</v>
      </c>
      <c r="BH236" s="124">
        <v>100</v>
      </c>
      <c r="BI236" s="121"/>
      <c r="BJ236" s="121"/>
      <c r="BK236" s="121"/>
      <c r="BL236" s="121"/>
      <c r="BM236" s="121"/>
    </row>
    <row r="237" spans="1:65" x14ac:dyDescent="0.25">
      <c r="A237" s="120">
        <v>236</v>
      </c>
      <c r="B237" s="120" t="b">
        <v>0</v>
      </c>
      <c r="C237" s="120">
        <v>0</v>
      </c>
      <c r="D237" s="61">
        <v>1</v>
      </c>
      <c r="E237" s="120">
        <v>1</v>
      </c>
      <c r="F237" s="120" t="s">
        <v>174</v>
      </c>
      <c r="G237" s="55">
        <v>60</v>
      </c>
      <c r="H237" s="120">
        <v>273</v>
      </c>
      <c r="I237" s="57">
        <v>100</v>
      </c>
      <c r="J237" s="120">
        <v>110</v>
      </c>
      <c r="K237" s="120">
        <v>1</v>
      </c>
      <c r="L237" s="120">
        <v>50</v>
      </c>
      <c r="M237" s="120">
        <v>15</v>
      </c>
      <c r="N237" s="120">
        <v>40</v>
      </c>
      <c r="O237" s="120">
        <v>2</v>
      </c>
      <c r="P237" s="120">
        <v>5</v>
      </c>
      <c r="Q237" s="120">
        <v>63</v>
      </c>
      <c r="R237" s="120">
        <v>51.299999237060497</v>
      </c>
      <c r="S237" s="148">
        <v>18.799999237060501</v>
      </c>
      <c r="T237" s="120">
        <v>65</v>
      </c>
      <c r="U237" s="120">
        <v>21</v>
      </c>
      <c r="V237" s="120">
        <v>-9999</v>
      </c>
      <c r="W237" s="120">
        <v>-9999</v>
      </c>
      <c r="X237" s="120">
        <v>-9999</v>
      </c>
      <c r="Y237" s="120">
        <v>-9999</v>
      </c>
      <c r="Z237" s="120">
        <v>-9999</v>
      </c>
      <c r="AA237" s="120">
        <v>68</v>
      </c>
      <c r="AB237" s="120">
        <v>14.5</v>
      </c>
      <c r="AC237" s="120">
        <v>236</v>
      </c>
      <c r="AD237" s="120">
        <v>1508</v>
      </c>
      <c r="AE237" s="120">
        <v>-9999</v>
      </c>
      <c r="AF237" s="120">
        <v>-9999</v>
      </c>
      <c r="AG237" s="120">
        <v>-9999</v>
      </c>
      <c r="AQ237" s="61">
        <v>6</v>
      </c>
      <c r="AR237" s="61">
        <v>125</v>
      </c>
      <c r="AS237" s="61">
        <v>100</v>
      </c>
      <c r="AT237" s="61" t="e">
        <f>AVERAGEIFS(Compressors!$S:$S,Compressors!$G:$G,AS237,Compressors!$I:$I,AR237,Compressors!$D:$D,AQ237)</f>
        <v>#DIV/0!</v>
      </c>
      <c r="AU237" s="53"/>
      <c r="BB237" s="121">
        <v>150</v>
      </c>
      <c r="BC237" s="121">
        <v>17.899999618530298</v>
      </c>
      <c r="BD237" s="125">
        <v>110</v>
      </c>
      <c r="BE237" s="121"/>
      <c r="BF237" s="122">
        <v>200</v>
      </c>
      <c r="BG237" s="123">
        <v>15.8999996185303</v>
      </c>
      <c r="BH237" s="124">
        <v>100</v>
      </c>
      <c r="BI237" s="121"/>
      <c r="BJ237" s="121"/>
      <c r="BK237" s="121"/>
      <c r="BL237" s="121"/>
      <c r="BM237" s="121"/>
    </row>
    <row r="238" spans="1:65" x14ac:dyDescent="0.25">
      <c r="A238" s="120">
        <v>237</v>
      </c>
      <c r="B238" s="120" t="b">
        <v>0</v>
      </c>
      <c r="C238" s="120">
        <v>0</v>
      </c>
      <c r="D238" s="61">
        <v>1</v>
      </c>
      <c r="E238" s="120">
        <v>1</v>
      </c>
      <c r="F238" s="120" t="s">
        <v>174</v>
      </c>
      <c r="G238" s="55">
        <v>60</v>
      </c>
      <c r="H238" s="120">
        <v>286</v>
      </c>
      <c r="I238" s="57">
        <v>100</v>
      </c>
      <c r="J238" s="120">
        <v>100</v>
      </c>
      <c r="K238" s="120">
        <v>2</v>
      </c>
      <c r="L238" s="120">
        <v>50</v>
      </c>
      <c r="M238" s="120">
        <v>15</v>
      </c>
      <c r="N238" s="120">
        <v>40</v>
      </c>
      <c r="O238" s="120">
        <v>2</v>
      </c>
      <c r="P238" s="120">
        <v>20</v>
      </c>
      <c r="Q238" s="120">
        <v>66</v>
      </c>
      <c r="R238" s="120">
        <v>53.700000762939503</v>
      </c>
      <c r="S238" s="148">
        <v>18.799999237060501</v>
      </c>
      <c r="T238" s="120">
        <v>65</v>
      </c>
      <c r="U238" s="120">
        <v>21</v>
      </c>
      <c r="V238" s="120">
        <v>-9999</v>
      </c>
      <c r="W238" s="120">
        <v>-9999</v>
      </c>
      <c r="X238" s="120">
        <v>-9999</v>
      </c>
      <c r="Y238" s="120">
        <v>-9999</v>
      </c>
      <c r="Z238" s="120">
        <v>-9999</v>
      </c>
      <c r="AA238" s="120">
        <v>68</v>
      </c>
      <c r="AB238" s="120">
        <v>14.5</v>
      </c>
      <c r="AC238" s="120">
        <v>237</v>
      </c>
      <c r="AD238" s="120">
        <v>1509</v>
      </c>
      <c r="AE238" s="120">
        <v>-9999</v>
      </c>
      <c r="AF238" s="120">
        <v>-9999</v>
      </c>
      <c r="AG238" s="120">
        <v>-9999</v>
      </c>
      <c r="AQ238" s="62">
        <v>1</v>
      </c>
      <c r="AR238" s="62">
        <v>100</v>
      </c>
      <c r="AS238" s="62">
        <v>125</v>
      </c>
      <c r="AT238" s="62">
        <f>AVERAGEIFS(Compressors!$S:$S,Compressors!$G:$G,AS238,Compressors!$I:$I,AR238,Compressors!$D:$D,AQ238)</f>
        <v>19.200000762939499</v>
      </c>
      <c r="AU238" s="62">
        <v>19.2</v>
      </c>
      <c r="BB238" s="121">
        <v>150</v>
      </c>
      <c r="BC238" s="121">
        <v>18.799999237060501</v>
      </c>
      <c r="BD238" s="125">
        <v>115</v>
      </c>
      <c r="BE238" s="121"/>
      <c r="BF238" s="122">
        <v>200</v>
      </c>
      <c r="BG238" s="123">
        <v>17.600000381469702</v>
      </c>
      <c r="BH238" s="124">
        <v>115</v>
      </c>
      <c r="BI238" s="121"/>
      <c r="BJ238" s="121"/>
      <c r="BK238" s="121"/>
      <c r="BL238" s="121"/>
      <c r="BM238" s="121"/>
    </row>
    <row r="239" spans="1:65" x14ac:dyDescent="0.25">
      <c r="A239" s="120">
        <v>238</v>
      </c>
      <c r="B239" s="120" t="b">
        <v>0</v>
      </c>
      <c r="C239" s="120">
        <v>0</v>
      </c>
      <c r="D239" s="61">
        <v>1</v>
      </c>
      <c r="E239" s="120">
        <v>1</v>
      </c>
      <c r="F239" s="120" t="s">
        <v>174</v>
      </c>
      <c r="G239" s="55">
        <v>60</v>
      </c>
      <c r="H239" s="120">
        <v>286</v>
      </c>
      <c r="I239" s="57">
        <v>100</v>
      </c>
      <c r="J239" s="120">
        <v>100</v>
      </c>
      <c r="K239" s="120">
        <v>3</v>
      </c>
      <c r="L239" s="120">
        <v>40</v>
      </c>
      <c r="M239" s="120">
        <v>15</v>
      </c>
      <c r="N239" s="120">
        <v>40</v>
      </c>
      <c r="O239" s="120">
        <v>2</v>
      </c>
      <c r="P239" s="120">
        <v>16.666999816894499</v>
      </c>
      <c r="Q239" s="120">
        <v>66</v>
      </c>
      <c r="R239" s="120">
        <v>53.700000762939503</v>
      </c>
      <c r="S239" s="148">
        <v>18.799999237060501</v>
      </c>
      <c r="T239" s="120">
        <v>57</v>
      </c>
      <c r="U239" s="120">
        <v>21</v>
      </c>
      <c r="V239" s="120">
        <v>-9999</v>
      </c>
      <c r="W239" s="120">
        <v>-9999</v>
      </c>
      <c r="X239" s="120">
        <v>-9999</v>
      </c>
      <c r="Y239" s="120">
        <v>-9999</v>
      </c>
      <c r="Z239" s="120">
        <v>-9999</v>
      </c>
      <c r="AA239" s="120">
        <v>68</v>
      </c>
      <c r="AB239" s="120">
        <v>14.5</v>
      </c>
      <c r="AC239" s="120">
        <v>238</v>
      </c>
      <c r="AD239" s="120">
        <v>1510</v>
      </c>
      <c r="AE239" s="120">
        <v>-9999</v>
      </c>
      <c r="AF239" s="120">
        <v>-9999</v>
      </c>
      <c r="AG239" s="120">
        <v>-9999</v>
      </c>
      <c r="AQ239" s="62">
        <v>1</v>
      </c>
      <c r="AR239" s="62">
        <v>110</v>
      </c>
      <c r="AS239" s="62">
        <v>125</v>
      </c>
      <c r="AT239" s="62">
        <f>AVERAGEIFS(Compressors!$S:$S,Compressors!$G:$G,AS239,Compressors!$I:$I,AR239,Compressors!$D:$D,AQ239)</f>
        <v>18.200000762939499</v>
      </c>
      <c r="AU239" s="62">
        <v>18.2</v>
      </c>
      <c r="BB239" s="121">
        <v>150</v>
      </c>
      <c r="BC239" s="121">
        <v>18.799999237060501</v>
      </c>
      <c r="BD239" s="125">
        <v>115</v>
      </c>
      <c r="BE239" s="121"/>
      <c r="BF239" s="122">
        <v>200</v>
      </c>
      <c r="BG239" s="123">
        <v>17.600000381469702</v>
      </c>
      <c r="BH239" s="124">
        <v>115</v>
      </c>
      <c r="BI239" s="121"/>
      <c r="BJ239" s="121"/>
      <c r="BK239" s="121"/>
      <c r="BL239" s="121"/>
      <c r="BM239" s="121"/>
    </row>
    <row r="240" spans="1:65" x14ac:dyDescent="0.25">
      <c r="A240" s="120">
        <v>239</v>
      </c>
      <c r="B240" s="120" t="b">
        <v>0</v>
      </c>
      <c r="C240" s="120">
        <v>0</v>
      </c>
      <c r="D240" s="61">
        <v>1</v>
      </c>
      <c r="E240" s="120">
        <v>1</v>
      </c>
      <c r="F240" s="120" t="s">
        <v>174</v>
      </c>
      <c r="G240" s="55">
        <v>60</v>
      </c>
      <c r="H240" s="120">
        <v>273</v>
      </c>
      <c r="I240" s="57">
        <v>100</v>
      </c>
      <c r="J240" s="120">
        <v>110</v>
      </c>
      <c r="K240" s="120">
        <v>4</v>
      </c>
      <c r="L240" s="120">
        <v>100</v>
      </c>
      <c r="M240" s="120">
        <v>15</v>
      </c>
      <c r="N240" s="120">
        <v>40</v>
      </c>
      <c r="O240" s="120">
        <v>2</v>
      </c>
      <c r="P240" s="120">
        <v>-9999</v>
      </c>
      <c r="Q240" s="120">
        <v>63</v>
      </c>
      <c r="R240" s="120">
        <v>51.299999237060497</v>
      </c>
      <c r="S240" s="148">
        <v>18.799999237060501</v>
      </c>
      <c r="T240" s="120">
        <v>-9999</v>
      </c>
      <c r="U240" s="120">
        <v>21</v>
      </c>
      <c r="V240" s="120">
        <v>-9999</v>
      </c>
      <c r="W240" s="120">
        <v>-9999</v>
      </c>
      <c r="X240" s="120">
        <v>-9999</v>
      </c>
      <c r="Y240" s="120">
        <v>-9999</v>
      </c>
      <c r="Z240" s="120">
        <v>-9999</v>
      </c>
      <c r="AA240" s="120">
        <v>68</v>
      </c>
      <c r="AB240" s="120">
        <v>14.5</v>
      </c>
      <c r="AC240" s="120">
        <v>239</v>
      </c>
      <c r="AD240" s="120">
        <v>1511</v>
      </c>
      <c r="AE240" s="120">
        <v>-9999</v>
      </c>
      <c r="AF240" s="120">
        <v>-9999</v>
      </c>
      <c r="AG240" s="120">
        <v>-9999</v>
      </c>
      <c r="AQ240" s="62">
        <v>1</v>
      </c>
      <c r="AR240" s="62">
        <v>115</v>
      </c>
      <c r="AS240" s="62">
        <v>125</v>
      </c>
      <c r="AT240" s="62">
        <f>AVERAGEIFS(Compressors!$S:$S,Compressors!$G:$G,AS240,Compressors!$I:$I,AR240,Compressors!$D:$D,AQ240)</f>
        <v>18.799999237060501</v>
      </c>
      <c r="AU240" s="62">
        <v>18.8</v>
      </c>
      <c r="BB240" s="121">
        <v>150</v>
      </c>
      <c r="BC240" s="121">
        <v>18.799999237060501</v>
      </c>
      <c r="BD240" s="125">
        <v>115</v>
      </c>
      <c r="BE240" s="121"/>
      <c r="BF240" s="122">
        <v>200</v>
      </c>
      <c r="BG240" s="123">
        <v>17.600000381469702</v>
      </c>
      <c r="BH240" s="124">
        <v>115</v>
      </c>
      <c r="BI240" s="121"/>
      <c r="BJ240" s="121"/>
      <c r="BK240" s="121"/>
      <c r="BL240" s="121"/>
      <c r="BM240" s="121"/>
    </row>
    <row r="241" spans="1:65" x14ac:dyDescent="0.25">
      <c r="A241" s="120">
        <v>240</v>
      </c>
      <c r="B241" s="120" t="b">
        <v>0</v>
      </c>
      <c r="C241" s="120">
        <v>0</v>
      </c>
      <c r="D241" s="61">
        <v>1</v>
      </c>
      <c r="E241" s="120">
        <v>1</v>
      </c>
      <c r="F241" s="120" t="s">
        <v>174</v>
      </c>
      <c r="G241" s="55">
        <v>60</v>
      </c>
      <c r="H241" s="120">
        <v>273</v>
      </c>
      <c r="I241" s="57">
        <v>100</v>
      </c>
      <c r="J241" s="120">
        <v>110</v>
      </c>
      <c r="K241" s="120">
        <v>11</v>
      </c>
      <c r="L241" s="120">
        <v>60</v>
      </c>
      <c r="M241" s="120">
        <v>15</v>
      </c>
      <c r="N241" s="120">
        <v>40</v>
      </c>
      <c r="O241" s="120">
        <v>2</v>
      </c>
      <c r="P241" s="120">
        <v>25</v>
      </c>
      <c r="Q241" s="120">
        <v>63</v>
      </c>
      <c r="R241" s="120">
        <v>51.299999237060497</v>
      </c>
      <c r="S241" s="148">
        <v>18.799999237060501</v>
      </c>
      <c r="T241" s="120">
        <v>70</v>
      </c>
      <c r="U241" s="120">
        <v>21</v>
      </c>
      <c r="V241" s="120">
        <v>-9999</v>
      </c>
      <c r="W241" s="120">
        <v>-9999</v>
      </c>
      <c r="X241" s="120">
        <v>-9999</v>
      </c>
      <c r="Y241" s="120">
        <v>-9999</v>
      </c>
      <c r="Z241" s="120">
        <v>-9999</v>
      </c>
      <c r="AA241" s="120">
        <v>68</v>
      </c>
      <c r="AB241" s="120">
        <v>14.5</v>
      </c>
      <c r="AC241" s="120">
        <v>240</v>
      </c>
      <c r="AD241" s="120">
        <v>1512</v>
      </c>
      <c r="AE241" s="120">
        <v>-9999</v>
      </c>
      <c r="AF241" s="120">
        <v>-9999</v>
      </c>
      <c r="AG241" s="120">
        <v>-9999</v>
      </c>
      <c r="AQ241" s="62">
        <v>1</v>
      </c>
      <c r="AR241" s="62">
        <v>125</v>
      </c>
      <c r="AS241" s="62">
        <v>125</v>
      </c>
      <c r="AT241" s="62">
        <f>AVERAGEIFS(Compressors!$S:$S,Compressors!$G:$G,AS241,Compressors!$I:$I,AR241,Compressors!$D:$D,AQ241)</f>
        <v>19.399999618530298</v>
      </c>
      <c r="AU241" s="62">
        <v>19.399999999999999</v>
      </c>
      <c r="BB241" s="121">
        <v>150</v>
      </c>
      <c r="BC241" s="121">
        <v>18.799999237060501</v>
      </c>
      <c r="BD241" s="125">
        <v>115</v>
      </c>
      <c r="BE241" s="121"/>
      <c r="BF241" s="122">
        <v>200</v>
      </c>
      <c r="BG241" s="123">
        <v>17.600000381469702</v>
      </c>
      <c r="BH241" s="124">
        <v>115</v>
      </c>
      <c r="BI241" s="121"/>
      <c r="BJ241" s="121"/>
      <c r="BK241" s="121"/>
      <c r="BL241" s="121"/>
      <c r="BM241" s="121"/>
    </row>
    <row r="242" spans="1:65" x14ac:dyDescent="0.25">
      <c r="A242" s="120">
        <v>241</v>
      </c>
      <c r="B242" s="120" t="b">
        <v>0</v>
      </c>
      <c r="C242" s="120">
        <v>0</v>
      </c>
      <c r="D242" s="61">
        <v>1</v>
      </c>
      <c r="E242" s="120">
        <v>1</v>
      </c>
      <c r="F242" s="120" t="s">
        <v>174</v>
      </c>
      <c r="G242" s="55">
        <v>60</v>
      </c>
      <c r="H242" s="120">
        <v>264</v>
      </c>
      <c r="I242" s="57">
        <v>115</v>
      </c>
      <c r="J242" s="120">
        <v>125</v>
      </c>
      <c r="K242" s="120">
        <v>1</v>
      </c>
      <c r="L242" s="120">
        <v>50</v>
      </c>
      <c r="M242" s="120">
        <v>15</v>
      </c>
      <c r="N242" s="120">
        <v>40</v>
      </c>
      <c r="O242" s="120">
        <v>2</v>
      </c>
      <c r="P242" s="120">
        <v>5</v>
      </c>
      <c r="Q242" s="120">
        <v>63</v>
      </c>
      <c r="R242" s="120">
        <v>51.299999237060497</v>
      </c>
      <c r="S242" s="148">
        <v>19.399999618530298</v>
      </c>
      <c r="T242" s="120">
        <v>65</v>
      </c>
      <c r="U242" s="120">
        <v>19</v>
      </c>
      <c r="V242" s="120">
        <v>-9999</v>
      </c>
      <c r="W242" s="120">
        <v>-9999</v>
      </c>
      <c r="X242" s="120">
        <v>-9999</v>
      </c>
      <c r="Y242" s="120">
        <v>-9999</v>
      </c>
      <c r="Z242" s="120">
        <v>-9999</v>
      </c>
      <c r="AA242" s="120">
        <v>68</v>
      </c>
      <c r="AB242" s="120">
        <v>14.5</v>
      </c>
      <c r="AC242" s="120">
        <v>241</v>
      </c>
      <c r="AD242" s="120">
        <v>1513</v>
      </c>
      <c r="AE242" s="120">
        <v>-9999</v>
      </c>
      <c r="AF242" s="120">
        <v>-9999</v>
      </c>
      <c r="AG242" s="120">
        <v>-9999</v>
      </c>
      <c r="AQ242" s="62">
        <v>2</v>
      </c>
      <c r="AR242" s="62">
        <v>100</v>
      </c>
      <c r="AS242" s="62">
        <v>125</v>
      </c>
      <c r="AT242" s="62">
        <f>AVERAGEIFS(Compressors!$S:$S,Compressors!$G:$G,AS242,Compressors!$I:$I,AR242,Compressors!$D:$D,AQ242)</f>
        <v>16.100000381469702</v>
      </c>
      <c r="AU242" s="62">
        <v>16.100000000000001</v>
      </c>
      <c r="AV242">
        <f>AT242/AT238</f>
        <v>0.83854165321422669</v>
      </c>
      <c r="BB242" s="121">
        <v>150</v>
      </c>
      <c r="BC242" s="121">
        <v>18.799999237060501</v>
      </c>
      <c r="BD242" s="125">
        <v>115</v>
      </c>
      <c r="BE242" s="121"/>
      <c r="BF242" s="122">
        <v>200</v>
      </c>
      <c r="BG242" s="123">
        <v>17.600000381469702</v>
      </c>
      <c r="BH242" s="124">
        <v>115</v>
      </c>
      <c r="BI242" s="121"/>
      <c r="BJ242" s="121"/>
      <c r="BK242" s="121"/>
      <c r="BL242" s="121"/>
      <c r="BM242" s="121"/>
    </row>
    <row r="243" spans="1:65" x14ac:dyDescent="0.25">
      <c r="A243" s="120">
        <v>242</v>
      </c>
      <c r="B243" s="120" t="b">
        <v>0</v>
      </c>
      <c r="C243" s="120">
        <v>0</v>
      </c>
      <c r="D243" s="61">
        <v>1</v>
      </c>
      <c r="E243" s="120">
        <v>1</v>
      </c>
      <c r="F243" s="120" t="s">
        <v>174</v>
      </c>
      <c r="G243" s="55">
        <v>60</v>
      </c>
      <c r="H243" s="120">
        <v>276</v>
      </c>
      <c r="I243" s="57">
        <v>115</v>
      </c>
      <c r="J243" s="120">
        <v>115</v>
      </c>
      <c r="K243" s="120">
        <v>2</v>
      </c>
      <c r="L243" s="120">
        <v>50</v>
      </c>
      <c r="M243" s="120">
        <v>15</v>
      </c>
      <c r="N243" s="120">
        <v>40</v>
      </c>
      <c r="O243" s="120">
        <v>2</v>
      </c>
      <c r="P243" s="120">
        <v>20</v>
      </c>
      <c r="Q243" s="120">
        <v>66</v>
      </c>
      <c r="R243" s="120">
        <v>53.700000762939503</v>
      </c>
      <c r="S243" s="148">
        <v>19.399999618530298</v>
      </c>
      <c r="T243" s="120">
        <v>65</v>
      </c>
      <c r="U243" s="120">
        <v>19</v>
      </c>
      <c r="V243" s="120">
        <v>-9999</v>
      </c>
      <c r="W243" s="120">
        <v>-9999</v>
      </c>
      <c r="X243" s="120">
        <v>-9999</v>
      </c>
      <c r="Y243" s="120">
        <v>-9999</v>
      </c>
      <c r="Z243" s="120">
        <v>-9999</v>
      </c>
      <c r="AA243" s="120">
        <v>68</v>
      </c>
      <c r="AB243" s="120">
        <v>14.5</v>
      </c>
      <c r="AC243" s="120">
        <v>242</v>
      </c>
      <c r="AD243" s="120">
        <v>1514</v>
      </c>
      <c r="AE243" s="120">
        <v>-9999</v>
      </c>
      <c r="AF243" s="120">
        <v>-9999</v>
      </c>
      <c r="AG243" s="120">
        <v>-9999</v>
      </c>
      <c r="AQ243" s="62">
        <v>2</v>
      </c>
      <c r="AR243" s="62">
        <v>110</v>
      </c>
      <c r="AS243" s="62">
        <v>125</v>
      </c>
      <c r="AT243" s="62" t="e">
        <f>AVERAGEIFS(Compressors!$S:$S,Compressors!$G:$G,AS243,Compressors!$I:$I,AR243,Compressors!$D:$D,AQ243)</f>
        <v>#DIV/0!</v>
      </c>
      <c r="AU243">
        <f>AU239*0.9</f>
        <v>16.38</v>
      </c>
      <c r="AV243" t="e">
        <f>AT243/AT239</f>
        <v>#DIV/0!</v>
      </c>
      <c r="BB243" s="121">
        <v>150</v>
      </c>
      <c r="BC243" s="121">
        <v>19.700000762939499</v>
      </c>
      <c r="BD243" s="125">
        <v>125</v>
      </c>
      <c r="BE243" s="121"/>
      <c r="BF243" s="122">
        <v>200</v>
      </c>
      <c r="BG243" s="123">
        <v>17.600000381469702</v>
      </c>
      <c r="BH243" s="124">
        <v>125</v>
      </c>
      <c r="BI243" s="121"/>
      <c r="BJ243" s="121"/>
      <c r="BK243" s="121"/>
      <c r="BL243" s="121"/>
      <c r="BM243" s="121"/>
    </row>
    <row r="244" spans="1:65" x14ac:dyDescent="0.25">
      <c r="A244" s="120">
        <v>243</v>
      </c>
      <c r="B244" s="120" t="b">
        <v>0</v>
      </c>
      <c r="C244" s="120">
        <v>0</v>
      </c>
      <c r="D244" s="61">
        <v>1</v>
      </c>
      <c r="E244" s="120">
        <v>1</v>
      </c>
      <c r="F244" s="120" t="s">
        <v>174</v>
      </c>
      <c r="G244" s="55">
        <v>60</v>
      </c>
      <c r="H244" s="120">
        <v>276</v>
      </c>
      <c r="I244" s="57">
        <v>115</v>
      </c>
      <c r="J244" s="120">
        <v>115</v>
      </c>
      <c r="K244" s="120">
        <v>3</v>
      </c>
      <c r="L244" s="120">
        <v>40</v>
      </c>
      <c r="M244" s="120">
        <v>15</v>
      </c>
      <c r="N244" s="120">
        <v>40</v>
      </c>
      <c r="O244" s="120">
        <v>2</v>
      </c>
      <c r="P244" s="120">
        <v>16.666999816894499</v>
      </c>
      <c r="Q244" s="120">
        <v>66</v>
      </c>
      <c r="R244" s="120">
        <v>53.700000762939503</v>
      </c>
      <c r="S244" s="148">
        <v>19.399999618530298</v>
      </c>
      <c r="T244" s="120">
        <v>57</v>
      </c>
      <c r="U244" s="120">
        <v>19</v>
      </c>
      <c r="V244" s="120">
        <v>-9999</v>
      </c>
      <c r="W244" s="120">
        <v>-9999</v>
      </c>
      <c r="X244" s="120">
        <v>-9999</v>
      </c>
      <c r="Y244" s="120">
        <v>-9999</v>
      </c>
      <c r="Z244" s="120">
        <v>-9999</v>
      </c>
      <c r="AA244" s="120">
        <v>68</v>
      </c>
      <c r="AB244" s="120">
        <v>14.5</v>
      </c>
      <c r="AC244" s="120">
        <v>243</v>
      </c>
      <c r="AD244" s="120">
        <v>1515</v>
      </c>
      <c r="AE244" s="120">
        <v>-9999</v>
      </c>
      <c r="AF244" s="120">
        <v>-9999</v>
      </c>
      <c r="AG244" s="120">
        <v>-9999</v>
      </c>
      <c r="AQ244" s="62">
        <v>2</v>
      </c>
      <c r="AR244" s="62">
        <v>115</v>
      </c>
      <c r="AS244" s="62">
        <v>125</v>
      </c>
      <c r="AT244" s="62">
        <f>AVERAGEIFS(Compressors!$S:$S,Compressors!$G:$G,AS244,Compressors!$I:$I,AR244,Compressors!$D:$D,AQ244)</f>
        <v>17.399999618530298</v>
      </c>
      <c r="AU244" s="62">
        <v>17.399999999999999</v>
      </c>
      <c r="AV244">
        <f>AT244/AT240</f>
        <v>0.92553193216250884</v>
      </c>
      <c r="BB244" s="121">
        <v>150</v>
      </c>
      <c r="BC244" s="121">
        <v>19.700000762939499</v>
      </c>
      <c r="BD244" s="125">
        <v>125</v>
      </c>
      <c r="BE244" s="121"/>
      <c r="BF244" s="122">
        <v>200</v>
      </c>
      <c r="BG244" s="123">
        <v>17.600000381469702</v>
      </c>
      <c r="BH244" s="124">
        <v>125</v>
      </c>
      <c r="BI244" s="121"/>
      <c r="BJ244" s="121"/>
      <c r="BK244" s="121"/>
      <c r="BL244" s="121"/>
      <c r="BM244" s="121"/>
    </row>
    <row r="245" spans="1:65" x14ac:dyDescent="0.25">
      <c r="A245" s="120">
        <v>244</v>
      </c>
      <c r="B245" s="120" t="b">
        <v>0</v>
      </c>
      <c r="C245" s="120">
        <v>0</v>
      </c>
      <c r="D245" s="61">
        <v>1</v>
      </c>
      <c r="E245" s="120">
        <v>1</v>
      </c>
      <c r="F245" s="120" t="s">
        <v>174</v>
      </c>
      <c r="G245" s="55">
        <v>60</v>
      </c>
      <c r="H245" s="120">
        <v>264</v>
      </c>
      <c r="I245" s="57">
        <v>115</v>
      </c>
      <c r="J245" s="120">
        <v>125</v>
      </c>
      <c r="K245" s="120">
        <v>4</v>
      </c>
      <c r="L245" s="120">
        <v>100</v>
      </c>
      <c r="M245" s="120">
        <v>15</v>
      </c>
      <c r="N245" s="120">
        <v>40</v>
      </c>
      <c r="O245" s="120">
        <v>2</v>
      </c>
      <c r="P245" s="120">
        <v>-9999</v>
      </c>
      <c r="Q245" s="120">
        <v>63</v>
      </c>
      <c r="R245" s="120">
        <v>51.299999237060497</v>
      </c>
      <c r="S245" s="148">
        <v>19.399999618530298</v>
      </c>
      <c r="T245" s="120">
        <v>-9999</v>
      </c>
      <c r="U245" s="120">
        <v>19</v>
      </c>
      <c r="V245" s="120">
        <v>-9999</v>
      </c>
      <c r="W245" s="120">
        <v>-9999</v>
      </c>
      <c r="X245" s="120">
        <v>-9999</v>
      </c>
      <c r="Y245" s="120">
        <v>-9999</v>
      </c>
      <c r="Z245" s="120">
        <v>-9999</v>
      </c>
      <c r="AA245" s="120">
        <v>68</v>
      </c>
      <c r="AB245" s="120">
        <v>14.5</v>
      </c>
      <c r="AC245" s="120">
        <v>244</v>
      </c>
      <c r="AD245" s="120">
        <v>1516</v>
      </c>
      <c r="AE245" s="120">
        <v>-9999</v>
      </c>
      <c r="AF245" s="120">
        <v>-9999</v>
      </c>
      <c r="AG245" s="120">
        <v>-9999</v>
      </c>
      <c r="AQ245" s="62">
        <v>2</v>
      </c>
      <c r="AR245" s="62">
        <v>125</v>
      </c>
      <c r="AS245" s="62">
        <v>125</v>
      </c>
      <c r="AT245" s="62">
        <f>AVERAGEIFS(Compressors!$S:$S,Compressors!$G:$G,AS245,Compressors!$I:$I,AR245,Compressors!$D:$D,AQ245)</f>
        <v>17.899999618530298</v>
      </c>
      <c r="AU245" s="62">
        <v>17.899999999999999</v>
      </c>
      <c r="AV245">
        <f>AT245/AT241</f>
        <v>0.92268041085076902</v>
      </c>
      <c r="BB245" s="121">
        <v>150</v>
      </c>
      <c r="BC245" s="121">
        <v>19.700000762939499</v>
      </c>
      <c r="BD245" s="125">
        <v>125</v>
      </c>
      <c r="BE245" s="121"/>
      <c r="BF245" s="122">
        <v>200</v>
      </c>
      <c r="BG245" s="123">
        <v>17.600000381469702</v>
      </c>
      <c r="BH245" s="124">
        <v>125</v>
      </c>
      <c r="BI245" s="121"/>
      <c r="BJ245" s="121"/>
      <c r="BK245" s="121"/>
      <c r="BL245" s="121"/>
      <c r="BM245" s="121"/>
    </row>
    <row r="246" spans="1:65" x14ac:dyDescent="0.25">
      <c r="A246" s="120">
        <v>245</v>
      </c>
      <c r="B246" s="120" t="b">
        <v>0</v>
      </c>
      <c r="C246" s="120">
        <v>0</v>
      </c>
      <c r="D246" s="61">
        <v>1</v>
      </c>
      <c r="E246" s="120">
        <v>1</v>
      </c>
      <c r="F246" s="120" t="s">
        <v>174</v>
      </c>
      <c r="G246" s="55">
        <v>60</v>
      </c>
      <c r="H246" s="120">
        <v>264</v>
      </c>
      <c r="I246" s="57">
        <v>115</v>
      </c>
      <c r="J246" s="120">
        <v>125</v>
      </c>
      <c r="K246" s="120">
        <v>11</v>
      </c>
      <c r="L246" s="120">
        <v>60</v>
      </c>
      <c r="M246" s="120">
        <v>15</v>
      </c>
      <c r="N246" s="120">
        <v>40</v>
      </c>
      <c r="O246" s="120">
        <v>2</v>
      </c>
      <c r="P246" s="120">
        <v>25</v>
      </c>
      <c r="Q246" s="120">
        <v>63</v>
      </c>
      <c r="R246" s="120">
        <v>51.299999237060497</v>
      </c>
      <c r="S246" s="148">
        <v>19.399999618530298</v>
      </c>
      <c r="T246" s="120">
        <v>70</v>
      </c>
      <c r="U246" s="120">
        <v>19</v>
      </c>
      <c r="V246" s="120">
        <v>-9999</v>
      </c>
      <c r="W246" s="120">
        <v>-9999</v>
      </c>
      <c r="X246" s="120">
        <v>-9999</v>
      </c>
      <c r="Y246" s="120">
        <v>-9999</v>
      </c>
      <c r="Z246" s="120">
        <v>-9999</v>
      </c>
      <c r="AA246" s="120">
        <v>68</v>
      </c>
      <c r="AB246" s="120">
        <v>14.5</v>
      </c>
      <c r="AC246" s="120">
        <v>245</v>
      </c>
      <c r="AD246" s="120">
        <v>1517</v>
      </c>
      <c r="AE246" s="120">
        <v>-9999</v>
      </c>
      <c r="AF246" s="120">
        <v>-9999</v>
      </c>
      <c r="AG246" s="120">
        <v>-9999</v>
      </c>
      <c r="AQ246" s="62">
        <v>4</v>
      </c>
      <c r="AR246" s="62">
        <v>100</v>
      </c>
      <c r="AS246" s="62">
        <v>125</v>
      </c>
      <c r="AT246" s="62" t="e">
        <f>AVERAGEIFS(Compressors!$S:$S,Compressors!$G:$G,AS246,Compressors!$I:$I,AR246,Compressors!$D:$D,AQ246)</f>
        <v>#DIV/0!</v>
      </c>
      <c r="AU246" s="53">
        <f>AU238*$BE$209</f>
        <v>0</v>
      </c>
      <c r="BB246" s="121">
        <v>150</v>
      </c>
      <c r="BC246" s="121">
        <v>19.700000762939499</v>
      </c>
      <c r="BD246" s="125">
        <v>125</v>
      </c>
      <c r="BE246" s="121"/>
      <c r="BF246" s="122">
        <v>200</v>
      </c>
      <c r="BG246" s="123">
        <v>17.600000381469702</v>
      </c>
      <c r="BH246" s="124">
        <v>125</v>
      </c>
      <c r="BI246" s="121"/>
      <c r="BJ246" s="121"/>
      <c r="BK246" s="121"/>
      <c r="BL246" s="121"/>
      <c r="BM246" s="121"/>
    </row>
    <row r="247" spans="1:65" x14ac:dyDescent="0.25">
      <c r="A247" s="120">
        <v>246</v>
      </c>
      <c r="B247" s="120" t="b">
        <v>0</v>
      </c>
      <c r="C247" s="120">
        <v>0</v>
      </c>
      <c r="D247" s="61">
        <v>1</v>
      </c>
      <c r="E247" s="120">
        <v>1</v>
      </c>
      <c r="F247" s="120" t="s">
        <v>174</v>
      </c>
      <c r="G247" s="55">
        <v>60</v>
      </c>
      <c r="H247" s="120">
        <v>250</v>
      </c>
      <c r="I247" s="57">
        <v>125</v>
      </c>
      <c r="J247" s="120">
        <v>135</v>
      </c>
      <c r="K247" s="120">
        <v>1</v>
      </c>
      <c r="L247" s="120">
        <v>50</v>
      </c>
      <c r="M247" s="120">
        <v>15</v>
      </c>
      <c r="N247" s="120">
        <v>40</v>
      </c>
      <c r="O247" s="120">
        <v>2</v>
      </c>
      <c r="P247" s="120">
        <v>5</v>
      </c>
      <c r="Q247" s="120">
        <v>63</v>
      </c>
      <c r="R247" s="120">
        <v>51.299999237060497</v>
      </c>
      <c r="S247" s="148">
        <v>20.5</v>
      </c>
      <c r="T247" s="120">
        <v>65</v>
      </c>
      <c r="U247" s="120">
        <v>18</v>
      </c>
      <c r="V247" s="120">
        <v>-9999</v>
      </c>
      <c r="W247" s="120">
        <v>-9999</v>
      </c>
      <c r="X247" s="120">
        <v>-9999</v>
      </c>
      <c r="Y247" s="120">
        <v>-9999</v>
      </c>
      <c r="Z247" s="120">
        <v>-9999</v>
      </c>
      <c r="AA247" s="120">
        <v>68</v>
      </c>
      <c r="AB247" s="120">
        <v>14.5</v>
      </c>
      <c r="AC247" s="120">
        <v>246</v>
      </c>
      <c r="AD247" s="120">
        <v>1518</v>
      </c>
      <c r="AE247" s="120">
        <v>-9999</v>
      </c>
      <c r="AF247" s="120">
        <v>-9999</v>
      </c>
      <c r="AG247" s="120">
        <v>-9999</v>
      </c>
      <c r="AQ247" s="62">
        <v>4</v>
      </c>
      <c r="AR247" s="62">
        <v>110</v>
      </c>
      <c r="AS247" s="62">
        <v>125</v>
      </c>
      <c r="AT247" s="62" t="e">
        <f>AVERAGEIFS(Compressors!$S:$S,Compressors!$G:$G,AS247,Compressors!$I:$I,AR247,Compressors!$D:$D,AQ247)</f>
        <v>#DIV/0!</v>
      </c>
      <c r="AU247" s="53">
        <f>AU239*$BE$209</f>
        <v>0</v>
      </c>
      <c r="BB247" s="121">
        <v>150</v>
      </c>
      <c r="BC247" s="121">
        <v>19.700000762939499</v>
      </c>
      <c r="BD247" s="125">
        <v>125</v>
      </c>
      <c r="BE247" s="121"/>
      <c r="BF247" s="122">
        <v>200</v>
      </c>
      <c r="BG247" s="123">
        <v>17.600000381469702</v>
      </c>
      <c r="BH247" s="124">
        <v>125</v>
      </c>
      <c r="BI247" s="121"/>
      <c r="BJ247" s="121"/>
      <c r="BK247" s="121"/>
      <c r="BL247" s="121"/>
      <c r="BM247" s="121"/>
    </row>
    <row r="248" spans="1:65" x14ac:dyDescent="0.25">
      <c r="A248" s="120">
        <v>247</v>
      </c>
      <c r="B248" s="120" t="b">
        <v>0</v>
      </c>
      <c r="C248" s="120">
        <v>0</v>
      </c>
      <c r="D248" s="61">
        <v>1</v>
      </c>
      <c r="E248" s="120">
        <v>1</v>
      </c>
      <c r="F248" s="120" t="s">
        <v>174</v>
      </c>
      <c r="G248" s="55">
        <v>60</v>
      </c>
      <c r="H248" s="120">
        <v>262</v>
      </c>
      <c r="I248" s="57">
        <v>125</v>
      </c>
      <c r="J248" s="120">
        <v>125</v>
      </c>
      <c r="K248" s="120">
        <v>2</v>
      </c>
      <c r="L248" s="120">
        <v>50</v>
      </c>
      <c r="M248" s="120">
        <v>15</v>
      </c>
      <c r="N248" s="120">
        <v>40</v>
      </c>
      <c r="O248" s="120">
        <v>2</v>
      </c>
      <c r="P248" s="120">
        <v>20</v>
      </c>
      <c r="Q248" s="120">
        <v>66</v>
      </c>
      <c r="R248" s="120">
        <v>53.700000762939503</v>
      </c>
      <c r="S248" s="148">
        <v>20.5</v>
      </c>
      <c r="T248" s="120">
        <v>65</v>
      </c>
      <c r="U248" s="120">
        <v>18</v>
      </c>
      <c r="V248" s="120">
        <v>-9999</v>
      </c>
      <c r="W248" s="120">
        <v>-9999</v>
      </c>
      <c r="X248" s="120">
        <v>-9999</v>
      </c>
      <c r="Y248" s="120">
        <v>-9999</v>
      </c>
      <c r="Z248" s="120">
        <v>-9999</v>
      </c>
      <c r="AA248" s="120">
        <v>68</v>
      </c>
      <c r="AB248" s="120">
        <v>14.5</v>
      </c>
      <c r="AC248" s="120">
        <v>247</v>
      </c>
      <c r="AD248" s="120">
        <v>1519</v>
      </c>
      <c r="AE248" s="120">
        <v>-9999</v>
      </c>
      <c r="AF248" s="120">
        <v>-9999</v>
      </c>
      <c r="AG248" s="120">
        <v>-9999</v>
      </c>
      <c r="AQ248" s="62">
        <v>4</v>
      </c>
      <c r="AR248" s="62">
        <v>115</v>
      </c>
      <c r="AS248" s="62">
        <v>125</v>
      </c>
      <c r="AT248" s="62" t="e">
        <f>AVERAGEIFS(Compressors!$S:$S,Compressors!$G:$G,AS248,Compressors!$I:$I,AR248,Compressors!$D:$D,AQ248)</f>
        <v>#DIV/0!</v>
      </c>
      <c r="AU248" s="53">
        <f>AU240*$BE$209</f>
        <v>0</v>
      </c>
      <c r="BB248" s="121">
        <v>200</v>
      </c>
      <c r="BC248" s="121">
        <v>17.299999237060501</v>
      </c>
      <c r="BD248" s="125">
        <v>100</v>
      </c>
      <c r="BE248" s="121"/>
      <c r="BF248" s="122">
        <v>250</v>
      </c>
      <c r="BG248" s="123">
        <v>15.800000190734901</v>
      </c>
      <c r="BH248" s="124">
        <v>100</v>
      </c>
      <c r="BI248" s="121"/>
      <c r="BJ248" s="121"/>
      <c r="BK248" s="121"/>
      <c r="BL248" s="121"/>
      <c r="BM248" s="121"/>
    </row>
    <row r="249" spans="1:65" x14ac:dyDescent="0.25">
      <c r="A249" s="120">
        <v>248</v>
      </c>
      <c r="B249" s="120" t="b">
        <v>0</v>
      </c>
      <c r="C249" s="120">
        <v>0</v>
      </c>
      <c r="D249" s="61">
        <v>1</v>
      </c>
      <c r="E249" s="120">
        <v>1</v>
      </c>
      <c r="F249" s="120" t="s">
        <v>174</v>
      </c>
      <c r="G249" s="55">
        <v>60</v>
      </c>
      <c r="H249" s="120">
        <v>262</v>
      </c>
      <c r="I249" s="57">
        <v>125</v>
      </c>
      <c r="J249" s="120">
        <v>125</v>
      </c>
      <c r="K249" s="120">
        <v>3</v>
      </c>
      <c r="L249" s="120">
        <v>40</v>
      </c>
      <c r="M249" s="120">
        <v>15</v>
      </c>
      <c r="N249" s="120">
        <v>40</v>
      </c>
      <c r="O249" s="120">
        <v>2</v>
      </c>
      <c r="P249" s="120">
        <v>16.666999816894499</v>
      </c>
      <c r="Q249" s="120">
        <v>66</v>
      </c>
      <c r="R249" s="120">
        <v>53.700000762939503</v>
      </c>
      <c r="S249" s="148">
        <v>20.5</v>
      </c>
      <c r="T249" s="120">
        <v>57</v>
      </c>
      <c r="U249" s="120">
        <v>18</v>
      </c>
      <c r="V249" s="120">
        <v>-9999</v>
      </c>
      <c r="W249" s="120">
        <v>-9999</v>
      </c>
      <c r="X249" s="120">
        <v>-9999</v>
      </c>
      <c r="Y249" s="120">
        <v>-9999</v>
      </c>
      <c r="Z249" s="120">
        <v>-9999</v>
      </c>
      <c r="AA249" s="120">
        <v>68</v>
      </c>
      <c r="AB249" s="120">
        <v>14.5</v>
      </c>
      <c r="AC249" s="120">
        <v>248</v>
      </c>
      <c r="AD249" s="120">
        <v>1520</v>
      </c>
      <c r="AE249" s="120">
        <v>-9999</v>
      </c>
      <c r="AF249" s="120">
        <v>-9999</v>
      </c>
      <c r="AG249" s="120">
        <v>-9999</v>
      </c>
      <c r="AQ249" s="62">
        <v>4</v>
      </c>
      <c r="AR249" s="62">
        <v>125</v>
      </c>
      <c r="AS249" s="62">
        <v>125</v>
      </c>
      <c r="AT249" s="62" t="e">
        <f>AVERAGEIFS(Compressors!$S:$S,Compressors!$G:$G,AS249,Compressors!$I:$I,AR249,Compressors!$D:$D,AQ249)</f>
        <v>#DIV/0!</v>
      </c>
      <c r="AU249" s="53">
        <f>AU241*$BE$209</f>
        <v>0</v>
      </c>
      <c r="BB249" s="121">
        <v>200</v>
      </c>
      <c r="BC249" s="121">
        <v>17.299999237060501</v>
      </c>
      <c r="BD249" s="125">
        <v>100</v>
      </c>
      <c r="BE249" s="121"/>
      <c r="BF249" s="122">
        <v>250</v>
      </c>
      <c r="BG249" s="123">
        <v>15.800000190734901</v>
      </c>
      <c r="BH249" s="124">
        <v>100</v>
      </c>
      <c r="BI249" s="121"/>
      <c r="BJ249" s="121"/>
      <c r="BK249" s="121"/>
      <c r="BL249" s="121"/>
      <c r="BM249" s="121"/>
    </row>
    <row r="250" spans="1:65" x14ac:dyDescent="0.25">
      <c r="A250" s="120">
        <v>249</v>
      </c>
      <c r="B250" s="120" t="b">
        <v>0</v>
      </c>
      <c r="C250" s="120">
        <v>0</v>
      </c>
      <c r="D250" s="61">
        <v>1</v>
      </c>
      <c r="E250" s="120">
        <v>1</v>
      </c>
      <c r="F250" s="120" t="s">
        <v>174</v>
      </c>
      <c r="G250" s="55">
        <v>60</v>
      </c>
      <c r="H250" s="120">
        <v>250</v>
      </c>
      <c r="I250" s="57">
        <v>125</v>
      </c>
      <c r="J250" s="120">
        <v>135</v>
      </c>
      <c r="K250" s="120">
        <v>4</v>
      </c>
      <c r="L250" s="120">
        <v>100</v>
      </c>
      <c r="M250" s="120">
        <v>15</v>
      </c>
      <c r="N250" s="120">
        <v>40</v>
      </c>
      <c r="O250" s="120">
        <v>2</v>
      </c>
      <c r="P250" s="120">
        <v>-9999</v>
      </c>
      <c r="Q250" s="120">
        <v>63</v>
      </c>
      <c r="R250" s="120">
        <v>51.299999237060497</v>
      </c>
      <c r="S250" s="148">
        <v>20.5</v>
      </c>
      <c r="T250" s="120">
        <v>-9999</v>
      </c>
      <c r="U250" s="120">
        <v>18</v>
      </c>
      <c r="V250" s="120">
        <v>-9999</v>
      </c>
      <c r="W250" s="120">
        <v>-9999</v>
      </c>
      <c r="X250" s="120">
        <v>-9999</v>
      </c>
      <c r="Y250" s="120">
        <v>-9999</v>
      </c>
      <c r="Z250" s="120">
        <v>-9999</v>
      </c>
      <c r="AA250" s="120">
        <v>68</v>
      </c>
      <c r="AB250" s="120">
        <v>14.5</v>
      </c>
      <c r="AC250" s="120">
        <v>249</v>
      </c>
      <c r="AD250" s="120">
        <v>1521</v>
      </c>
      <c r="AE250" s="120">
        <v>-9999</v>
      </c>
      <c r="AF250" s="120">
        <v>-9999</v>
      </c>
      <c r="AG250" s="120">
        <v>-9999</v>
      </c>
      <c r="AQ250" s="62">
        <v>5</v>
      </c>
      <c r="AR250" s="62">
        <v>100</v>
      </c>
      <c r="AS250" s="62">
        <v>125</v>
      </c>
      <c r="AT250" s="62">
        <f>AVERAGEIFS(Compressors!$S:$S,Compressors!$G:$G,AS250,Compressors!$I:$I,AR250,Compressors!$D:$D,AQ250)</f>
        <v>15</v>
      </c>
      <c r="AU250" s="62">
        <v>15</v>
      </c>
      <c r="BB250" s="121">
        <v>200</v>
      </c>
      <c r="BC250" s="121">
        <v>17.299999237060501</v>
      </c>
      <c r="BD250" s="125">
        <v>100</v>
      </c>
      <c r="BE250" s="121"/>
      <c r="BF250" s="122">
        <v>250</v>
      </c>
      <c r="BG250" s="123">
        <v>15.800000190734901</v>
      </c>
      <c r="BH250" s="124">
        <v>100</v>
      </c>
      <c r="BI250" s="121"/>
      <c r="BJ250" s="121"/>
      <c r="BK250" s="121"/>
      <c r="BL250" s="121"/>
      <c r="BM250" s="121"/>
    </row>
    <row r="251" spans="1:65" x14ac:dyDescent="0.25">
      <c r="A251" s="120">
        <v>250</v>
      </c>
      <c r="B251" s="120" t="b">
        <v>0</v>
      </c>
      <c r="C251" s="120">
        <v>0</v>
      </c>
      <c r="D251" s="61">
        <v>1</v>
      </c>
      <c r="E251" s="120">
        <v>1</v>
      </c>
      <c r="F251" s="120" t="s">
        <v>174</v>
      </c>
      <c r="G251" s="55">
        <v>60</v>
      </c>
      <c r="H251" s="120">
        <v>250</v>
      </c>
      <c r="I251" s="57">
        <v>125</v>
      </c>
      <c r="J251" s="120">
        <v>135</v>
      </c>
      <c r="K251" s="120">
        <v>11</v>
      </c>
      <c r="L251" s="120">
        <v>60</v>
      </c>
      <c r="M251" s="120">
        <v>15</v>
      </c>
      <c r="N251" s="120">
        <v>40</v>
      </c>
      <c r="O251" s="120">
        <v>2</v>
      </c>
      <c r="P251" s="120">
        <v>25</v>
      </c>
      <c r="Q251" s="120">
        <v>63</v>
      </c>
      <c r="R251" s="120">
        <v>51.299999237060497</v>
      </c>
      <c r="S251" s="148">
        <v>20.5</v>
      </c>
      <c r="T251" s="120">
        <v>70</v>
      </c>
      <c r="U251" s="120">
        <v>18</v>
      </c>
      <c r="V251" s="120">
        <v>-9999</v>
      </c>
      <c r="W251" s="120">
        <v>-9999</v>
      </c>
      <c r="X251" s="120">
        <v>-9999</v>
      </c>
      <c r="Y251" s="120">
        <v>-9999</v>
      </c>
      <c r="Z251" s="120">
        <v>-9999</v>
      </c>
      <c r="AA251" s="120">
        <v>68</v>
      </c>
      <c r="AB251" s="120">
        <v>14.5</v>
      </c>
      <c r="AC251" s="120">
        <v>250</v>
      </c>
      <c r="AD251" s="120">
        <v>1522</v>
      </c>
      <c r="AE251" s="120">
        <v>-9999</v>
      </c>
      <c r="AF251" s="120">
        <v>-9999</v>
      </c>
      <c r="AG251" s="120">
        <v>-9999</v>
      </c>
      <c r="AQ251" s="62">
        <v>5</v>
      </c>
      <c r="AR251" s="62">
        <v>110</v>
      </c>
      <c r="AS251" s="62">
        <v>125</v>
      </c>
      <c r="AT251" s="62">
        <f>AVERAGEIFS(Compressors!$S:$S,Compressors!$G:$G,AS251,Compressors!$I:$I,AR251,Compressors!$D:$D,AQ251)</f>
        <v>15.699999809265099</v>
      </c>
      <c r="AU251" s="62">
        <v>15.699999809265099</v>
      </c>
      <c r="BB251" s="121">
        <v>200</v>
      </c>
      <c r="BC251" s="121">
        <v>17.299999237060501</v>
      </c>
      <c r="BD251" s="125">
        <v>100</v>
      </c>
      <c r="BE251" s="121"/>
      <c r="BF251" s="122">
        <v>250</v>
      </c>
      <c r="BG251" s="123">
        <v>15.800000190734901</v>
      </c>
      <c r="BH251" s="124">
        <v>100</v>
      </c>
      <c r="BI251" s="121"/>
      <c r="BJ251" s="121"/>
      <c r="BK251" s="121"/>
      <c r="BL251" s="121"/>
      <c r="BM251" s="121"/>
    </row>
    <row r="252" spans="1:65" x14ac:dyDescent="0.25">
      <c r="A252" s="120">
        <v>251</v>
      </c>
      <c r="B252" s="120" t="b">
        <v>0</v>
      </c>
      <c r="C252" s="120">
        <v>0</v>
      </c>
      <c r="D252" s="61">
        <v>1</v>
      </c>
      <c r="E252" s="120">
        <v>1</v>
      </c>
      <c r="F252" s="120" t="s">
        <v>174</v>
      </c>
      <c r="G252" s="55">
        <v>60</v>
      </c>
      <c r="H252" s="120">
        <v>232</v>
      </c>
      <c r="I252" s="57">
        <v>140</v>
      </c>
      <c r="J252" s="120">
        <v>150</v>
      </c>
      <c r="K252" s="120">
        <v>1</v>
      </c>
      <c r="L252" s="120">
        <v>50</v>
      </c>
      <c r="M252" s="120">
        <v>15</v>
      </c>
      <c r="N252" s="120">
        <v>40</v>
      </c>
      <c r="O252" s="120">
        <v>2</v>
      </c>
      <c r="P252" s="120">
        <v>5</v>
      </c>
      <c r="Q252" s="120">
        <v>63</v>
      </c>
      <c r="R252" s="120">
        <v>51.299999237060497</v>
      </c>
      <c r="S252" s="148">
        <v>22.100000381469702</v>
      </c>
      <c r="T252" s="120">
        <v>65</v>
      </c>
      <c r="U252" s="120">
        <v>17</v>
      </c>
      <c r="V252" s="120">
        <v>-9999</v>
      </c>
      <c r="W252" s="120">
        <v>-9999</v>
      </c>
      <c r="X252" s="120">
        <v>-9999</v>
      </c>
      <c r="Y252" s="120">
        <v>-9999</v>
      </c>
      <c r="Z252" s="120">
        <v>-9999</v>
      </c>
      <c r="AA252" s="120">
        <v>68</v>
      </c>
      <c r="AB252" s="120">
        <v>14.5</v>
      </c>
      <c r="AC252" s="120">
        <v>251</v>
      </c>
      <c r="AD252" s="120">
        <v>1523</v>
      </c>
      <c r="AE252" s="120">
        <v>-9999</v>
      </c>
      <c r="AF252" s="120">
        <v>-9999</v>
      </c>
      <c r="AG252" s="120">
        <v>-9999</v>
      </c>
      <c r="AQ252" s="62">
        <v>5</v>
      </c>
      <c r="AR252" s="62">
        <v>115</v>
      </c>
      <c r="AS252" s="62">
        <v>125</v>
      </c>
      <c r="AT252" s="62">
        <f>AVERAGEIFS(Compressors!$S:$S,Compressors!$G:$G,AS252,Compressors!$I:$I,AR252,Compressors!$D:$D,AQ252)</f>
        <v>16.100000381469702</v>
      </c>
      <c r="AU252" s="62">
        <v>16.100000381469702</v>
      </c>
      <c r="BB252" s="121">
        <v>200</v>
      </c>
      <c r="BC252" s="121">
        <v>17.299999237060501</v>
      </c>
      <c r="BD252" s="125">
        <v>100</v>
      </c>
      <c r="BE252" s="121"/>
      <c r="BF252" s="122">
        <v>250</v>
      </c>
      <c r="BG252" s="123">
        <v>15.800000190734901</v>
      </c>
      <c r="BH252" s="124">
        <v>100</v>
      </c>
      <c r="BI252" s="121"/>
      <c r="BJ252" s="121"/>
      <c r="BK252" s="121"/>
      <c r="BL252" s="121"/>
      <c r="BM252" s="121"/>
    </row>
    <row r="253" spans="1:65" x14ac:dyDescent="0.25">
      <c r="A253" s="120">
        <v>252</v>
      </c>
      <c r="B253" s="120" t="b">
        <v>0</v>
      </c>
      <c r="C253" s="120">
        <v>0</v>
      </c>
      <c r="D253" s="61">
        <v>1</v>
      </c>
      <c r="E253" s="120">
        <v>1</v>
      </c>
      <c r="F253" s="120" t="s">
        <v>174</v>
      </c>
      <c r="G253" s="55">
        <v>60</v>
      </c>
      <c r="H253" s="120">
        <v>243</v>
      </c>
      <c r="I253" s="57">
        <v>140</v>
      </c>
      <c r="J253" s="120">
        <v>140</v>
      </c>
      <c r="K253" s="120">
        <v>2</v>
      </c>
      <c r="L253" s="120">
        <v>50</v>
      </c>
      <c r="M253" s="120">
        <v>15</v>
      </c>
      <c r="N253" s="120">
        <v>40</v>
      </c>
      <c r="O253" s="120">
        <v>2</v>
      </c>
      <c r="P253" s="120">
        <v>20</v>
      </c>
      <c r="Q253" s="120">
        <v>66</v>
      </c>
      <c r="R253" s="120">
        <v>53.700000762939503</v>
      </c>
      <c r="S253" s="148">
        <v>22.100000381469702</v>
      </c>
      <c r="T253" s="120">
        <v>65</v>
      </c>
      <c r="U253" s="120">
        <v>17</v>
      </c>
      <c r="V253" s="120">
        <v>-9999</v>
      </c>
      <c r="W253" s="120">
        <v>-9999</v>
      </c>
      <c r="X253" s="120">
        <v>-9999</v>
      </c>
      <c r="Y253" s="120">
        <v>-9999</v>
      </c>
      <c r="Z253" s="120">
        <v>-9999</v>
      </c>
      <c r="AA253" s="120">
        <v>68</v>
      </c>
      <c r="AB253" s="120">
        <v>14.5</v>
      </c>
      <c r="AC253" s="120">
        <v>252</v>
      </c>
      <c r="AD253" s="120">
        <v>1524</v>
      </c>
      <c r="AE253" s="120">
        <v>-9999</v>
      </c>
      <c r="AF253" s="120">
        <v>-9999</v>
      </c>
      <c r="AG253" s="120">
        <v>-9999</v>
      </c>
      <c r="AQ253" s="62">
        <v>5</v>
      </c>
      <c r="AR253" s="62">
        <v>125</v>
      </c>
      <c r="AS253" s="62">
        <v>125</v>
      </c>
      <c r="AT253" s="62">
        <f>AVERAGEIFS(Compressors!$S:$S,Compressors!$G:$G,AS253,Compressors!$I:$I,AR253,Compressors!$D:$D,AQ253)</f>
        <v>16.700000762939499</v>
      </c>
      <c r="AU253" s="62">
        <v>16.700000762939499</v>
      </c>
      <c r="BB253" s="121">
        <v>200</v>
      </c>
      <c r="BC253" s="121">
        <v>17.700000762939499</v>
      </c>
      <c r="BD253" s="125">
        <v>110</v>
      </c>
      <c r="BE253" s="121"/>
      <c r="BF253" s="122">
        <v>250</v>
      </c>
      <c r="BG253" s="123">
        <v>17.5</v>
      </c>
      <c r="BH253" s="124">
        <v>125</v>
      </c>
      <c r="BI253" s="121"/>
      <c r="BJ253" s="121"/>
      <c r="BK253" s="121"/>
      <c r="BL253" s="121"/>
      <c r="BM253" s="121"/>
    </row>
    <row r="254" spans="1:65" x14ac:dyDescent="0.25">
      <c r="A254" s="120">
        <v>253</v>
      </c>
      <c r="B254" s="120" t="b">
        <v>0</v>
      </c>
      <c r="C254" s="120">
        <v>0</v>
      </c>
      <c r="D254" s="61">
        <v>1</v>
      </c>
      <c r="E254" s="120">
        <v>1</v>
      </c>
      <c r="F254" s="120" t="s">
        <v>174</v>
      </c>
      <c r="G254" s="55">
        <v>60</v>
      </c>
      <c r="H254" s="120">
        <v>243</v>
      </c>
      <c r="I254" s="57">
        <v>140</v>
      </c>
      <c r="J254" s="120">
        <v>140</v>
      </c>
      <c r="K254" s="120">
        <v>3</v>
      </c>
      <c r="L254" s="120">
        <v>40</v>
      </c>
      <c r="M254" s="120">
        <v>15</v>
      </c>
      <c r="N254" s="120">
        <v>40</v>
      </c>
      <c r="O254" s="120">
        <v>2</v>
      </c>
      <c r="P254" s="120">
        <v>16.666999816894499</v>
      </c>
      <c r="Q254" s="120">
        <v>66</v>
      </c>
      <c r="R254" s="120">
        <v>53.700000762939503</v>
      </c>
      <c r="S254" s="148">
        <v>22.100000381469702</v>
      </c>
      <c r="T254" s="120">
        <v>57</v>
      </c>
      <c r="U254" s="120">
        <v>17</v>
      </c>
      <c r="V254" s="120">
        <v>-9999</v>
      </c>
      <c r="W254" s="120">
        <v>-9999</v>
      </c>
      <c r="X254" s="120">
        <v>-9999</v>
      </c>
      <c r="Y254" s="120">
        <v>-9999</v>
      </c>
      <c r="Z254" s="120">
        <v>-9999</v>
      </c>
      <c r="AA254" s="120">
        <v>68</v>
      </c>
      <c r="AB254" s="120">
        <v>14.5</v>
      </c>
      <c r="AC254" s="120">
        <v>253</v>
      </c>
      <c r="AD254" s="120">
        <v>1525</v>
      </c>
      <c r="AE254" s="120">
        <v>-9999</v>
      </c>
      <c r="AF254" s="120">
        <v>-9999</v>
      </c>
      <c r="AG254" s="120">
        <v>-9999</v>
      </c>
      <c r="AQ254" s="62">
        <v>6</v>
      </c>
      <c r="AR254" s="62">
        <v>100</v>
      </c>
      <c r="AS254" s="62">
        <v>125</v>
      </c>
      <c r="AT254" s="62" t="e">
        <f>AVERAGEIFS(Compressors!$S:$S,Compressors!$G:$G,AS254,Compressors!$I:$I,AR254,Compressors!$D:$D,AQ254)</f>
        <v>#DIV/0!</v>
      </c>
      <c r="AU254" s="53"/>
      <c r="BB254" s="121">
        <v>200</v>
      </c>
      <c r="BC254" s="121">
        <v>17.700000762939499</v>
      </c>
      <c r="BD254" s="125">
        <v>110</v>
      </c>
      <c r="BE254" s="121"/>
      <c r="BF254" s="122">
        <v>250</v>
      </c>
      <c r="BG254" s="123">
        <v>17.5</v>
      </c>
      <c r="BH254" s="124">
        <v>125</v>
      </c>
      <c r="BI254" s="121"/>
      <c r="BJ254" s="121"/>
      <c r="BK254" s="121"/>
      <c r="BL254" s="121"/>
      <c r="BM254" s="121"/>
    </row>
    <row r="255" spans="1:65" x14ac:dyDescent="0.25">
      <c r="A255" s="120">
        <v>254</v>
      </c>
      <c r="B255" s="120" t="b">
        <v>0</v>
      </c>
      <c r="C255" s="120">
        <v>0</v>
      </c>
      <c r="D255" s="61">
        <v>1</v>
      </c>
      <c r="E255" s="120">
        <v>1</v>
      </c>
      <c r="F255" s="120" t="s">
        <v>174</v>
      </c>
      <c r="G255" s="55">
        <v>60</v>
      </c>
      <c r="H255" s="120">
        <v>232</v>
      </c>
      <c r="I255" s="57">
        <v>140</v>
      </c>
      <c r="J255" s="120">
        <v>150</v>
      </c>
      <c r="K255" s="120">
        <v>4</v>
      </c>
      <c r="L255" s="120">
        <v>100</v>
      </c>
      <c r="M255" s="120">
        <v>15</v>
      </c>
      <c r="N255" s="120">
        <v>40</v>
      </c>
      <c r="O255" s="120">
        <v>2</v>
      </c>
      <c r="P255" s="120">
        <v>-9999</v>
      </c>
      <c r="Q255" s="120">
        <v>63</v>
      </c>
      <c r="R255" s="120">
        <v>51.299999237060497</v>
      </c>
      <c r="S255" s="148">
        <v>22.100000381469702</v>
      </c>
      <c r="T255" s="120">
        <v>-9999</v>
      </c>
      <c r="U255" s="120">
        <v>17</v>
      </c>
      <c r="V255" s="120">
        <v>-9999</v>
      </c>
      <c r="W255" s="120">
        <v>-9999</v>
      </c>
      <c r="X255" s="120">
        <v>-9999</v>
      </c>
      <c r="Y255" s="120">
        <v>-9999</v>
      </c>
      <c r="Z255" s="120">
        <v>-9999</v>
      </c>
      <c r="AA255" s="120">
        <v>68</v>
      </c>
      <c r="AB255" s="120">
        <v>14.5</v>
      </c>
      <c r="AC255" s="120">
        <v>254</v>
      </c>
      <c r="AD255" s="120">
        <v>1526</v>
      </c>
      <c r="AE255" s="120">
        <v>-9999</v>
      </c>
      <c r="AF255" s="120">
        <v>-9999</v>
      </c>
      <c r="AG255" s="120">
        <v>-9999</v>
      </c>
      <c r="AQ255" s="62">
        <v>6</v>
      </c>
      <c r="AR255" s="62">
        <v>110</v>
      </c>
      <c r="AS255" s="62">
        <v>125</v>
      </c>
      <c r="AT255" s="62" t="e">
        <f>AVERAGEIFS(Compressors!$S:$S,Compressors!$G:$G,AS255,Compressors!$I:$I,AR255,Compressors!$D:$D,AQ255)</f>
        <v>#DIV/0!</v>
      </c>
      <c r="AU255" s="53"/>
      <c r="BB255" s="121">
        <v>200</v>
      </c>
      <c r="BC255" s="121">
        <v>17.700000762939499</v>
      </c>
      <c r="BD255" s="125">
        <v>110</v>
      </c>
      <c r="BE255" s="121"/>
      <c r="BF255" s="122">
        <v>250</v>
      </c>
      <c r="BG255" s="123">
        <v>17.5</v>
      </c>
      <c r="BH255" s="124">
        <v>125</v>
      </c>
      <c r="BI255" s="121"/>
      <c r="BJ255" s="121"/>
      <c r="BK255" s="121"/>
      <c r="BL255" s="121"/>
      <c r="BM255" s="121"/>
    </row>
    <row r="256" spans="1:65" x14ac:dyDescent="0.25">
      <c r="A256" s="120">
        <v>255</v>
      </c>
      <c r="B256" s="120" t="b">
        <v>0</v>
      </c>
      <c r="C256" s="120">
        <v>0</v>
      </c>
      <c r="D256" s="61">
        <v>1</v>
      </c>
      <c r="E256" s="120">
        <v>1</v>
      </c>
      <c r="F256" s="120" t="s">
        <v>174</v>
      </c>
      <c r="G256" s="55">
        <v>60</v>
      </c>
      <c r="H256" s="120">
        <v>232</v>
      </c>
      <c r="I256" s="57">
        <v>140</v>
      </c>
      <c r="J256" s="120">
        <v>150</v>
      </c>
      <c r="K256" s="120">
        <v>11</v>
      </c>
      <c r="L256" s="120">
        <v>60</v>
      </c>
      <c r="M256" s="120">
        <v>15</v>
      </c>
      <c r="N256" s="120">
        <v>40</v>
      </c>
      <c r="O256" s="120">
        <v>2</v>
      </c>
      <c r="P256" s="120">
        <v>25</v>
      </c>
      <c r="Q256" s="120">
        <v>63</v>
      </c>
      <c r="R256" s="120">
        <v>51.299999237060497</v>
      </c>
      <c r="S256" s="148">
        <v>22.100000381469702</v>
      </c>
      <c r="T256" s="120">
        <v>70</v>
      </c>
      <c r="U256" s="120">
        <v>17</v>
      </c>
      <c r="V256" s="120">
        <v>-9999</v>
      </c>
      <c r="W256" s="120">
        <v>-9999</v>
      </c>
      <c r="X256" s="120">
        <v>-9999</v>
      </c>
      <c r="Y256" s="120">
        <v>-9999</v>
      </c>
      <c r="Z256" s="120">
        <v>-9999</v>
      </c>
      <c r="AA256" s="120">
        <v>68</v>
      </c>
      <c r="AB256" s="120">
        <v>14.5</v>
      </c>
      <c r="AC256" s="120">
        <v>255</v>
      </c>
      <c r="AD256" s="120">
        <v>1527</v>
      </c>
      <c r="AE256" s="120">
        <v>-9999</v>
      </c>
      <c r="AF256" s="120">
        <v>-9999</v>
      </c>
      <c r="AG256" s="120">
        <v>-9999</v>
      </c>
      <c r="AQ256" s="62">
        <v>6</v>
      </c>
      <c r="AR256" s="62">
        <v>115</v>
      </c>
      <c r="AS256" s="62">
        <v>125</v>
      </c>
      <c r="AT256" s="62" t="e">
        <f>AVERAGEIFS(Compressors!$S:$S,Compressors!$G:$G,AS256,Compressors!$I:$I,AR256,Compressors!$D:$D,AQ256)</f>
        <v>#DIV/0!</v>
      </c>
      <c r="AU256" s="53"/>
      <c r="BB256" s="121">
        <v>200</v>
      </c>
      <c r="BC256" s="121">
        <v>17.700000762939499</v>
      </c>
      <c r="BD256" s="125">
        <v>110</v>
      </c>
      <c r="BE256" s="121"/>
      <c r="BF256" s="122">
        <v>250</v>
      </c>
      <c r="BG256" s="123">
        <v>17.5</v>
      </c>
      <c r="BH256" s="124">
        <v>125</v>
      </c>
      <c r="BI256" s="121"/>
      <c r="BJ256" s="121"/>
      <c r="BK256" s="121"/>
      <c r="BL256" s="121"/>
      <c r="BM256" s="121"/>
    </row>
    <row r="257" spans="1:65" x14ac:dyDescent="0.25">
      <c r="A257" s="120">
        <v>256</v>
      </c>
      <c r="B257" s="120" t="b">
        <v>0</v>
      </c>
      <c r="C257" s="120">
        <v>0</v>
      </c>
      <c r="D257" s="61">
        <v>1</v>
      </c>
      <c r="E257" s="120">
        <v>1</v>
      </c>
      <c r="F257" s="120" t="s">
        <v>174</v>
      </c>
      <c r="G257" s="55">
        <v>60</v>
      </c>
      <c r="H257" s="120">
        <v>227</v>
      </c>
      <c r="I257" s="57">
        <v>150</v>
      </c>
      <c r="J257" s="120">
        <v>160</v>
      </c>
      <c r="K257" s="120">
        <v>1</v>
      </c>
      <c r="L257" s="120">
        <v>50</v>
      </c>
      <c r="M257" s="120">
        <v>15</v>
      </c>
      <c r="N257" s="120">
        <v>40</v>
      </c>
      <c r="O257" s="120">
        <v>2</v>
      </c>
      <c r="P257" s="120">
        <v>5</v>
      </c>
      <c r="Q257" s="120">
        <v>63</v>
      </c>
      <c r="R257" s="120">
        <v>51.299999237060497</v>
      </c>
      <c r="S257" s="148">
        <v>22.600000381469702</v>
      </c>
      <c r="T257" s="120">
        <v>65</v>
      </c>
      <c r="U257" s="120">
        <v>16</v>
      </c>
      <c r="V257" s="120">
        <v>-9999</v>
      </c>
      <c r="W257" s="120">
        <v>-9999</v>
      </c>
      <c r="X257" s="120">
        <v>-9999</v>
      </c>
      <c r="Y257" s="120">
        <v>-9999</v>
      </c>
      <c r="Z257" s="120">
        <v>-9999</v>
      </c>
      <c r="AA257" s="120">
        <v>68</v>
      </c>
      <c r="AB257" s="120">
        <v>14.5</v>
      </c>
      <c r="AC257" s="120">
        <v>256</v>
      </c>
      <c r="AD257" s="120">
        <v>1528</v>
      </c>
      <c r="AE257" s="120">
        <v>-9999</v>
      </c>
      <c r="AF257" s="120">
        <v>-9999</v>
      </c>
      <c r="AG257" s="120">
        <v>-9999</v>
      </c>
      <c r="AQ257" s="62">
        <v>6</v>
      </c>
      <c r="AR257" s="62">
        <v>125</v>
      </c>
      <c r="AS257" s="62">
        <v>125</v>
      </c>
      <c r="AT257" s="62" t="e">
        <f>AVERAGEIFS(Compressors!$S:$S,Compressors!$G:$G,AS257,Compressors!$I:$I,AR257,Compressors!$D:$D,AQ257)</f>
        <v>#DIV/0!</v>
      </c>
      <c r="AU257" s="53"/>
      <c r="BB257" s="121">
        <v>200</v>
      </c>
      <c r="BC257" s="121">
        <v>17.700000762939499</v>
      </c>
      <c r="BD257" s="125">
        <v>110</v>
      </c>
      <c r="BE257" s="121"/>
      <c r="BF257" s="122">
        <v>250</v>
      </c>
      <c r="BG257" s="123">
        <v>17.5</v>
      </c>
      <c r="BH257" s="124">
        <v>125</v>
      </c>
      <c r="BI257" s="121"/>
      <c r="BJ257" s="121"/>
      <c r="BK257" s="121"/>
      <c r="BL257" s="121"/>
      <c r="BM257" s="121"/>
    </row>
    <row r="258" spans="1:65" x14ac:dyDescent="0.25">
      <c r="A258" s="120">
        <v>257</v>
      </c>
      <c r="B258" s="120" t="b">
        <v>0</v>
      </c>
      <c r="C258" s="120">
        <v>0</v>
      </c>
      <c r="D258" s="61">
        <v>1</v>
      </c>
      <c r="E258" s="120">
        <v>1</v>
      </c>
      <c r="F258" s="120" t="s">
        <v>174</v>
      </c>
      <c r="G258" s="55">
        <v>60</v>
      </c>
      <c r="H258" s="120">
        <v>238</v>
      </c>
      <c r="I258" s="57">
        <v>150</v>
      </c>
      <c r="J258" s="120">
        <v>150</v>
      </c>
      <c r="K258" s="120">
        <v>2</v>
      </c>
      <c r="L258" s="120">
        <v>50</v>
      </c>
      <c r="M258" s="120">
        <v>15</v>
      </c>
      <c r="N258" s="120">
        <v>40</v>
      </c>
      <c r="O258" s="120">
        <v>2</v>
      </c>
      <c r="P258" s="120">
        <v>20</v>
      </c>
      <c r="Q258" s="120">
        <v>66</v>
      </c>
      <c r="R258" s="120">
        <v>53.700000762939503</v>
      </c>
      <c r="S258" s="148">
        <v>22.600000381469702</v>
      </c>
      <c r="T258" s="120">
        <v>65</v>
      </c>
      <c r="U258" s="120">
        <v>16</v>
      </c>
      <c r="V258" s="120">
        <v>-9999</v>
      </c>
      <c r="W258" s="120">
        <v>-9999</v>
      </c>
      <c r="X258" s="120">
        <v>-9999</v>
      </c>
      <c r="Y258" s="120">
        <v>-9999</v>
      </c>
      <c r="Z258" s="120">
        <v>-9999</v>
      </c>
      <c r="AA258" s="120">
        <v>68</v>
      </c>
      <c r="AB258" s="120">
        <v>14.5</v>
      </c>
      <c r="AC258" s="120">
        <v>257</v>
      </c>
      <c r="AD258" s="120">
        <v>1529</v>
      </c>
      <c r="AE258" s="120">
        <v>-9999</v>
      </c>
      <c r="AF258" s="120">
        <v>-9999</v>
      </c>
      <c r="AG258" s="120">
        <v>-9999</v>
      </c>
      <c r="AQ258" s="63">
        <v>1</v>
      </c>
      <c r="AR258" s="63">
        <v>100</v>
      </c>
      <c r="AS258" s="63">
        <v>150</v>
      </c>
      <c r="AT258" s="63">
        <f>AVERAGEIFS(Compressors!$S:$S,Compressors!$G:$G,AS258,Compressors!$I:$I,AR258,Compressors!$D:$D,AQ258)</f>
        <v>17.299999237060501</v>
      </c>
      <c r="AU258" s="63">
        <v>17.3</v>
      </c>
      <c r="BB258" s="121">
        <v>200</v>
      </c>
      <c r="BC258" s="121">
        <v>18.700000762939499</v>
      </c>
      <c r="BD258" s="125">
        <v>115</v>
      </c>
      <c r="BE258" s="121"/>
      <c r="BF258" s="121"/>
      <c r="BG258" s="121"/>
      <c r="BH258" s="121"/>
      <c r="BI258" s="121"/>
      <c r="BJ258" s="121"/>
      <c r="BK258" s="121"/>
      <c r="BL258" s="121"/>
      <c r="BM258" s="121"/>
    </row>
    <row r="259" spans="1:65" x14ac:dyDescent="0.25">
      <c r="A259" s="120">
        <v>258</v>
      </c>
      <c r="B259" s="120" t="b">
        <v>0</v>
      </c>
      <c r="C259" s="120">
        <v>0</v>
      </c>
      <c r="D259" s="61">
        <v>1</v>
      </c>
      <c r="E259" s="120">
        <v>1</v>
      </c>
      <c r="F259" s="120" t="s">
        <v>174</v>
      </c>
      <c r="G259" s="55">
        <v>60</v>
      </c>
      <c r="H259" s="120">
        <v>238</v>
      </c>
      <c r="I259" s="57">
        <v>150</v>
      </c>
      <c r="J259" s="120">
        <v>150</v>
      </c>
      <c r="K259" s="120">
        <v>3</v>
      </c>
      <c r="L259" s="120">
        <v>40</v>
      </c>
      <c r="M259" s="120">
        <v>15</v>
      </c>
      <c r="N259" s="120">
        <v>40</v>
      </c>
      <c r="O259" s="120">
        <v>2</v>
      </c>
      <c r="P259" s="120">
        <v>16.666999816894499</v>
      </c>
      <c r="Q259" s="120">
        <v>66</v>
      </c>
      <c r="R259" s="120">
        <v>53.700000762939503</v>
      </c>
      <c r="S259" s="148">
        <v>22.600000381469702</v>
      </c>
      <c r="T259" s="120">
        <v>57</v>
      </c>
      <c r="U259" s="120">
        <v>16</v>
      </c>
      <c r="V259" s="120">
        <v>-9999</v>
      </c>
      <c r="W259" s="120">
        <v>-9999</v>
      </c>
      <c r="X259" s="120">
        <v>-9999</v>
      </c>
      <c r="Y259" s="120">
        <v>-9999</v>
      </c>
      <c r="Z259" s="120">
        <v>-9999</v>
      </c>
      <c r="AA259" s="120">
        <v>68</v>
      </c>
      <c r="AB259" s="120">
        <v>14.5</v>
      </c>
      <c r="AC259" s="120">
        <v>258</v>
      </c>
      <c r="AD259" s="120">
        <v>1530</v>
      </c>
      <c r="AE259" s="120">
        <v>-9999</v>
      </c>
      <c r="AF259" s="120">
        <v>-9999</v>
      </c>
      <c r="AG259" s="120">
        <v>-9999</v>
      </c>
      <c r="AQ259" s="63">
        <v>1</v>
      </c>
      <c r="AR259" s="63">
        <v>110</v>
      </c>
      <c r="AS259" s="63">
        <v>150</v>
      </c>
      <c r="AT259" s="63">
        <f>AVERAGEIFS(Compressors!$S:$S,Compressors!$G:$G,AS259,Compressors!$I:$I,AR259,Compressors!$D:$D,AQ259)</f>
        <v>17.899999618530298</v>
      </c>
      <c r="AU259" s="63">
        <v>17.899999999999999</v>
      </c>
      <c r="BB259" s="121">
        <v>200</v>
      </c>
      <c r="BC259" s="121">
        <v>18.700000762939499</v>
      </c>
      <c r="BD259" s="125">
        <v>115</v>
      </c>
      <c r="BE259" s="121"/>
      <c r="BF259" s="121"/>
      <c r="BG259" s="121"/>
      <c r="BH259" s="121"/>
      <c r="BI259" s="121"/>
      <c r="BJ259" s="121"/>
      <c r="BK259" s="121"/>
      <c r="BL259" s="121"/>
      <c r="BM259" s="121"/>
    </row>
    <row r="260" spans="1:65" x14ac:dyDescent="0.25">
      <c r="A260" s="120">
        <v>259</v>
      </c>
      <c r="B260" s="120" t="b">
        <v>0</v>
      </c>
      <c r="C260" s="120">
        <v>0</v>
      </c>
      <c r="D260" s="61">
        <v>1</v>
      </c>
      <c r="E260" s="120">
        <v>1</v>
      </c>
      <c r="F260" s="120" t="s">
        <v>174</v>
      </c>
      <c r="G260" s="55">
        <v>60</v>
      </c>
      <c r="H260" s="120">
        <v>227</v>
      </c>
      <c r="I260" s="57">
        <v>150</v>
      </c>
      <c r="J260" s="120">
        <v>160</v>
      </c>
      <c r="K260" s="120">
        <v>4</v>
      </c>
      <c r="L260" s="120">
        <v>100</v>
      </c>
      <c r="M260" s="120">
        <v>15</v>
      </c>
      <c r="N260" s="120">
        <v>40</v>
      </c>
      <c r="O260" s="120">
        <v>2</v>
      </c>
      <c r="P260" s="120">
        <v>-9999</v>
      </c>
      <c r="Q260" s="120">
        <v>63</v>
      </c>
      <c r="R260" s="120">
        <v>51.299999237060497</v>
      </c>
      <c r="S260" s="148">
        <v>22.600000381469702</v>
      </c>
      <c r="T260" s="120">
        <v>-9999</v>
      </c>
      <c r="U260" s="120">
        <v>16</v>
      </c>
      <c r="V260" s="120">
        <v>-9999</v>
      </c>
      <c r="W260" s="120">
        <v>-9999</v>
      </c>
      <c r="X260" s="120">
        <v>-9999</v>
      </c>
      <c r="Y260" s="120">
        <v>-9999</v>
      </c>
      <c r="Z260" s="120">
        <v>-9999</v>
      </c>
      <c r="AA260" s="120">
        <v>68</v>
      </c>
      <c r="AB260" s="120">
        <v>14.5</v>
      </c>
      <c r="AC260" s="120">
        <v>259</v>
      </c>
      <c r="AD260" s="120">
        <v>1531</v>
      </c>
      <c r="AE260" s="120">
        <v>-9999</v>
      </c>
      <c r="AF260" s="120">
        <v>-9999</v>
      </c>
      <c r="AG260" s="120">
        <v>-9999</v>
      </c>
      <c r="AQ260" s="63">
        <v>1</v>
      </c>
      <c r="AR260" s="63">
        <v>115</v>
      </c>
      <c r="AS260" s="63">
        <v>150</v>
      </c>
      <c r="AT260" s="63">
        <f>AVERAGEIFS(Compressors!$S:$S,Compressors!$G:$G,AS260,Compressors!$I:$I,AR260,Compressors!$D:$D,AQ260)</f>
        <v>18.799999237060501</v>
      </c>
      <c r="AU260" s="63">
        <v>18.8</v>
      </c>
      <c r="BB260" s="121">
        <v>200</v>
      </c>
      <c r="BC260" s="121">
        <v>18.700000762939499</v>
      </c>
      <c r="BD260" s="125">
        <v>115</v>
      </c>
      <c r="BE260" s="121"/>
      <c r="BF260" s="121"/>
      <c r="BG260" s="121"/>
      <c r="BH260" s="121"/>
      <c r="BI260" s="121"/>
      <c r="BJ260" s="121"/>
      <c r="BK260" s="121"/>
      <c r="BL260" s="121"/>
      <c r="BM260" s="121"/>
    </row>
    <row r="261" spans="1:65" x14ac:dyDescent="0.25">
      <c r="A261" s="120">
        <v>260</v>
      </c>
      <c r="B261" s="120" t="b">
        <v>0</v>
      </c>
      <c r="C261" s="120">
        <v>0</v>
      </c>
      <c r="D261" s="61">
        <v>1</v>
      </c>
      <c r="E261" s="120">
        <v>1</v>
      </c>
      <c r="F261" s="120" t="s">
        <v>174</v>
      </c>
      <c r="G261" s="55">
        <v>60</v>
      </c>
      <c r="H261" s="120">
        <v>227</v>
      </c>
      <c r="I261" s="57">
        <v>150</v>
      </c>
      <c r="J261" s="120">
        <v>160</v>
      </c>
      <c r="K261" s="120">
        <v>11</v>
      </c>
      <c r="L261" s="120">
        <v>60</v>
      </c>
      <c r="M261" s="120">
        <v>15</v>
      </c>
      <c r="N261" s="120">
        <v>40</v>
      </c>
      <c r="O261" s="120">
        <v>2</v>
      </c>
      <c r="P261" s="120">
        <v>25</v>
      </c>
      <c r="Q261" s="120">
        <v>63</v>
      </c>
      <c r="R261" s="120">
        <v>51.299999237060497</v>
      </c>
      <c r="S261" s="148">
        <v>22.600000381469702</v>
      </c>
      <c r="T261" s="120">
        <v>70</v>
      </c>
      <c r="U261" s="120">
        <v>16</v>
      </c>
      <c r="V261" s="120">
        <v>-9999</v>
      </c>
      <c r="W261" s="120">
        <v>-9999</v>
      </c>
      <c r="X261" s="120">
        <v>-9999</v>
      </c>
      <c r="Y261" s="120">
        <v>-9999</v>
      </c>
      <c r="Z261" s="120">
        <v>-9999</v>
      </c>
      <c r="AA261" s="120">
        <v>68</v>
      </c>
      <c r="AB261" s="120">
        <v>14.5</v>
      </c>
      <c r="AC261" s="120">
        <v>260</v>
      </c>
      <c r="AD261" s="120">
        <v>1532</v>
      </c>
      <c r="AE261" s="120">
        <v>-9999</v>
      </c>
      <c r="AF261" s="120">
        <v>-9999</v>
      </c>
      <c r="AG261" s="120">
        <v>-9999</v>
      </c>
      <c r="AQ261" s="63">
        <v>1</v>
      </c>
      <c r="AR261" s="63">
        <v>125</v>
      </c>
      <c r="AS261" s="63">
        <v>150</v>
      </c>
      <c r="AT261" s="63">
        <f>AVERAGEIFS(Compressors!$S:$S,Compressors!$G:$G,AS261,Compressors!$I:$I,AR261,Compressors!$D:$D,AQ261)</f>
        <v>19.700000762939499</v>
      </c>
      <c r="AU261" s="63">
        <v>19.7</v>
      </c>
      <c r="BB261" s="121">
        <v>200</v>
      </c>
      <c r="BC261" s="121">
        <v>18.700000762939499</v>
      </c>
      <c r="BD261" s="125">
        <v>115</v>
      </c>
      <c r="BE261" s="121"/>
      <c r="BF261" s="121"/>
      <c r="BG261" s="121"/>
      <c r="BH261" s="121"/>
      <c r="BI261" s="121"/>
      <c r="BJ261" s="121"/>
      <c r="BK261" s="121"/>
      <c r="BL261" s="121"/>
      <c r="BM261" s="121"/>
    </row>
    <row r="262" spans="1:65" x14ac:dyDescent="0.25">
      <c r="A262" s="120">
        <v>261</v>
      </c>
      <c r="B262" s="120" t="b">
        <v>0</v>
      </c>
      <c r="C262" s="120">
        <v>0</v>
      </c>
      <c r="D262" s="61">
        <v>1</v>
      </c>
      <c r="E262" s="120">
        <v>1</v>
      </c>
      <c r="F262" s="120" t="s">
        <v>174</v>
      </c>
      <c r="G262" s="55">
        <v>60</v>
      </c>
      <c r="H262" s="120">
        <v>192</v>
      </c>
      <c r="I262" s="57">
        <v>175</v>
      </c>
      <c r="J262" s="120">
        <v>185</v>
      </c>
      <c r="K262" s="120">
        <v>1</v>
      </c>
      <c r="L262" s="120">
        <v>50</v>
      </c>
      <c r="M262" s="120">
        <v>15</v>
      </c>
      <c r="N262" s="120">
        <v>40</v>
      </c>
      <c r="O262" s="120">
        <v>2</v>
      </c>
      <c r="P262" s="120">
        <v>5</v>
      </c>
      <c r="Q262" s="120">
        <v>63</v>
      </c>
      <c r="R262" s="120">
        <v>51.299999237060497</v>
      </c>
      <c r="S262" s="148">
        <v>26.700000762939499</v>
      </c>
      <c r="T262" s="120">
        <v>65</v>
      </c>
      <c r="U262" s="120">
        <v>18</v>
      </c>
      <c r="V262" s="120">
        <v>-9999</v>
      </c>
      <c r="W262" s="120">
        <v>-9999</v>
      </c>
      <c r="X262" s="120">
        <v>-9999</v>
      </c>
      <c r="Y262" s="120">
        <v>-9999</v>
      </c>
      <c r="Z262" s="120">
        <v>-9999</v>
      </c>
      <c r="AA262" s="120">
        <v>68</v>
      </c>
      <c r="AB262" s="120">
        <v>14.5</v>
      </c>
      <c r="AC262" s="120">
        <v>261</v>
      </c>
      <c r="AD262" s="120">
        <v>1533</v>
      </c>
      <c r="AE262" s="120">
        <v>-9999</v>
      </c>
      <c r="AF262" s="120">
        <v>-9999</v>
      </c>
      <c r="AG262" s="120">
        <v>-9999</v>
      </c>
      <c r="AQ262" s="63">
        <v>2</v>
      </c>
      <c r="AR262" s="63">
        <v>100</v>
      </c>
      <c r="AS262" s="63">
        <v>150</v>
      </c>
      <c r="AT262" s="63">
        <f>AVERAGEIFS(Compressors!$S:$S,Compressors!$G:$G,AS262,Compressors!$I:$I,AR262,Compressors!$D:$D,AQ262)</f>
        <v>16</v>
      </c>
      <c r="AU262" s="63">
        <v>16</v>
      </c>
      <c r="AV262">
        <f>AT262/AT258</f>
        <v>0.9248555321161166</v>
      </c>
      <c r="BB262" s="121">
        <v>200</v>
      </c>
      <c r="BC262" s="121">
        <v>18.700000762939499</v>
      </c>
      <c r="BD262" s="125">
        <v>115</v>
      </c>
      <c r="BE262" s="121"/>
      <c r="BF262" s="121"/>
      <c r="BG262" s="121"/>
      <c r="BH262" s="121"/>
      <c r="BI262" s="121"/>
      <c r="BJ262" s="121"/>
      <c r="BK262" s="121"/>
      <c r="BL262" s="121"/>
      <c r="BM262" s="121"/>
    </row>
    <row r="263" spans="1:65" x14ac:dyDescent="0.25">
      <c r="A263" s="120">
        <v>262</v>
      </c>
      <c r="B263" s="120" t="b">
        <v>0</v>
      </c>
      <c r="C263" s="120">
        <v>0</v>
      </c>
      <c r="D263" s="61">
        <v>1</v>
      </c>
      <c r="E263" s="120">
        <v>1</v>
      </c>
      <c r="F263" s="120" t="s">
        <v>174</v>
      </c>
      <c r="G263" s="55">
        <v>60</v>
      </c>
      <c r="H263" s="120">
        <v>201</v>
      </c>
      <c r="I263" s="57">
        <v>175</v>
      </c>
      <c r="J263" s="120">
        <v>175</v>
      </c>
      <c r="K263" s="120">
        <v>2</v>
      </c>
      <c r="L263" s="120">
        <v>50</v>
      </c>
      <c r="M263" s="120">
        <v>15</v>
      </c>
      <c r="N263" s="120">
        <v>40</v>
      </c>
      <c r="O263" s="120">
        <v>2</v>
      </c>
      <c r="P263" s="120">
        <v>20</v>
      </c>
      <c r="Q263" s="120">
        <v>66</v>
      </c>
      <c r="R263" s="120">
        <v>53.700000762939503</v>
      </c>
      <c r="S263" s="148">
        <v>26.700000762939499</v>
      </c>
      <c r="T263" s="120">
        <v>65</v>
      </c>
      <c r="U263" s="120">
        <v>18</v>
      </c>
      <c r="V263" s="120">
        <v>-9999</v>
      </c>
      <c r="W263" s="120">
        <v>-9999</v>
      </c>
      <c r="X263" s="120">
        <v>-9999</v>
      </c>
      <c r="Y263" s="120">
        <v>-9999</v>
      </c>
      <c r="Z263" s="120">
        <v>-9999</v>
      </c>
      <c r="AA263" s="120">
        <v>68</v>
      </c>
      <c r="AB263" s="120">
        <v>14.5</v>
      </c>
      <c r="AC263" s="120">
        <v>262</v>
      </c>
      <c r="AD263" s="120">
        <v>1534</v>
      </c>
      <c r="AE263" s="120">
        <v>-9999</v>
      </c>
      <c r="AF263" s="120">
        <v>-9999</v>
      </c>
      <c r="AG263" s="120">
        <v>-9999</v>
      </c>
      <c r="AQ263" s="63">
        <v>2</v>
      </c>
      <c r="AR263" s="63">
        <v>110</v>
      </c>
      <c r="AS263" s="63">
        <v>150</v>
      </c>
      <c r="AT263" s="63" t="e">
        <f>AVERAGEIFS(Compressors!$S:$S,Compressors!$G:$G,AS263,Compressors!$I:$I,AR263,Compressors!$D:$D,AQ263)</f>
        <v>#DIV/0!</v>
      </c>
      <c r="AU263">
        <f>AU259*0.9</f>
        <v>16.11</v>
      </c>
      <c r="AV263" t="e">
        <f>AT263/AT259</f>
        <v>#DIV/0!</v>
      </c>
      <c r="BB263" s="121">
        <v>200</v>
      </c>
      <c r="BC263" s="121">
        <v>19.5</v>
      </c>
      <c r="BD263" s="125">
        <v>125</v>
      </c>
      <c r="BE263" s="121"/>
      <c r="BF263" s="121"/>
      <c r="BG263" s="121"/>
      <c r="BH263" s="121"/>
      <c r="BI263" s="121"/>
      <c r="BJ263" s="121"/>
      <c r="BK263" s="121"/>
      <c r="BL263" s="121"/>
      <c r="BM263" s="121"/>
    </row>
    <row r="264" spans="1:65" x14ac:dyDescent="0.25">
      <c r="A264" s="120">
        <v>263</v>
      </c>
      <c r="B264" s="120" t="b">
        <v>0</v>
      </c>
      <c r="C264" s="120">
        <v>0</v>
      </c>
      <c r="D264" s="61">
        <v>1</v>
      </c>
      <c r="E264" s="120">
        <v>1</v>
      </c>
      <c r="F264" s="120" t="s">
        <v>174</v>
      </c>
      <c r="G264" s="55">
        <v>60</v>
      </c>
      <c r="H264" s="120">
        <v>201</v>
      </c>
      <c r="I264" s="57">
        <v>175</v>
      </c>
      <c r="J264" s="120">
        <v>175</v>
      </c>
      <c r="K264" s="120">
        <v>3</v>
      </c>
      <c r="L264" s="120">
        <v>40</v>
      </c>
      <c r="M264" s="120">
        <v>15</v>
      </c>
      <c r="N264" s="120">
        <v>40</v>
      </c>
      <c r="O264" s="120">
        <v>2</v>
      </c>
      <c r="P264" s="120">
        <v>16.666999816894499</v>
      </c>
      <c r="Q264" s="120">
        <v>66</v>
      </c>
      <c r="R264" s="120">
        <v>53.700000762939503</v>
      </c>
      <c r="S264" s="148">
        <v>26.700000762939499</v>
      </c>
      <c r="T264" s="120">
        <v>57</v>
      </c>
      <c r="U264" s="120">
        <v>18</v>
      </c>
      <c r="V264" s="120">
        <v>-9999</v>
      </c>
      <c r="W264" s="120">
        <v>-9999</v>
      </c>
      <c r="X264" s="120">
        <v>-9999</v>
      </c>
      <c r="Y264" s="120">
        <v>-9999</v>
      </c>
      <c r="Z264" s="120">
        <v>-9999</v>
      </c>
      <c r="AA264" s="120">
        <v>68</v>
      </c>
      <c r="AB264" s="120">
        <v>14.5</v>
      </c>
      <c r="AC264" s="120">
        <v>263</v>
      </c>
      <c r="AD264" s="120">
        <v>1535</v>
      </c>
      <c r="AE264" s="120">
        <v>-9999</v>
      </c>
      <c r="AF264" s="120">
        <v>-9999</v>
      </c>
      <c r="AG264" s="120">
        <v>-9999</v>
      </c>
      <c r="AQ264" s="63">
        <v>2</v>
      </c>
      <c r="AR264" s="63">
        <v>115</v>
      </c>
      <c r="AS264" s="63">
        <v>150</v>
      </c>
      <c r="AT264" s="63">
        <f>AVERAGEIFS(Compressors!$S:$S,Compressors!$G:$G,AS264,Compressors!$I:$I,AR264,Compressors!$D:$D,AQ264)</f>
        <v>17.5</v>
      </c>
      <c r="AU264" s="63">
        <v>17.5</v>
      </c>
      <c r="AV264">
        <f>AT264/AT260</f>
        <v>0.93085110160548268</v>
      </c>
      <c r="BB264" s="121">
        <v>200</v>
      </c>
      <c r="BC264" s="121">
        <v>19.5</v>
      </c>
      <c r="BD264" s="125">
        <v>125</v>
      </c>
      <c r="BE264" s="121"/>
      <c r="BF264" s="121"/>
      <c r="BG264" s="121"/>
      <c r="BH264" s="121"/>
      <c r="BI264" s="121"/>
      <c r="BJ264" s="121"/>
      <c r="BK264" s="121"/>
      <c r="BL264" s="121"/>
      <c r="BM264" s="121"/>
    </row>
    <row r="265" spans="1:65" x14ac:dyDescent="0.25">
      <c r="A265" s="120">
        <v>264</v>
      </c>
      <c r="B265" s="120" t="b">
        <v>0</v>
      </c>
      <c r="C265" s="120">
        <v>0</v>
      </c>
      <c r="D265" s="61">
        <v>1</v>
      </c>
      <c r="E265" s="120">
        <v>1</v>
      </c>
      <c r="F265" s="120" t="s">
        <v>174</v>
      </c>
      <c r="G265" s="55">
        <v>60</v>
      </c>
      <c r="H265" s="120">
        <v>192</v>
      </c>
      <c r="I265" s="57">
        <v>175</v>
      </c>
      <c r="J265" s="120">
        <v>185</v>
      </c>
      <c r="K265" s="120">
        <v>4</v>
      </c>
      <c r="L265" s="120">
        <v>100</v>
      </c>
      <c r="M265" s="120">
        <v>15</v>
      </c>
      <c r="N265" s="120">
        <v>40</v>
      </c>
      <c r="O265" s="120">
        <v>2</v>
      </c>
      <c r="P265" s="120">
        <v>-9999</v>
      </c>
      <c r="Q265" s="120">
        <v>63</v>
      </c>
      <c r="R265" s="120">
        <v>51.299999237060497</v>
      </c>
      <c r="S265" s="148">
        <v>26.700000762939499</v>
      </c>
      <c r="T265" s="120">
        <v>-9999</v>
      </c>
      <c r="U265" s="120">
        <v>18</v>
      </c>
      <c r="V265" s="120">
        <v>-9999</v>
      </c>
      <c r="W265" s="120">
        <v>-9999</v>
      </c>
      <c r="X265" s="120">
        <v>-9999</v>
      </c>
      <c r="Y265" s="120">
        <v>-9999</v>
      </c>
      <c r="Z265" s="120">
        <v>-9999</v>
      </c>
      <c r="AA265" s="120">
        <v>68</v>
      </c>
      <c r="AB265" s="120">
        <v>14.5</v>
      </c>
      <c r="AC265" s="120">
        <v>264</v>
      </c>
      <c r="AD265" s="120">
        <v>1536</v>
      </c>
      <c r="AE265" s="120">
        <v>-9999</v>
      </c>
      <c r="AF265" s="120">
        <v>-9999</v>
      </c>
      <c r="AG265" s="120">
        <v>-9999</v>
      </c>
      <c r="AQ265" s="63">
        <v>2</v>
      </c>
      <c r="AR265" s="63">
        <v>125</v>
      </c>
      <c r="AS265" s="63">
        <v>150</v>
      </c>
      <c r="AT265" s="63">
        <f>AVERAGEIFS(Compressors!$S:$S,Compressors!$G:$G,AS265,Compressors!$I:$I,AR265,Compressors!$D:$D,AQ265)</f>
        <v>17.799999237060501</v>
      </c>
      <c r="AU265" s="63">
        <v>17.8</v>
      </c>
      <c r="AV265">
        <f>AT265/AT261</f>
        <v>0.90355322577177943</v>
      </c>
      <c r="BB265" s="121">
        <v>200</v>
      </c>
      <c r="BC265" s="121">
        <v>19.5</v>
      </c>
      <c r="BD265" s="125">
        <v>125</v>
      </c>
      <c r="BE265" s="121"/>
      <c r="BF265" s="121"/>
      <c r="BG265" s="121"/>
      <c r="BH265" s="121"/>
      <c r="BI265" s="121"/>
      <c r="BJ265" s="121"/>
      <c r="BK265" s="121"/>
      <c r="BL265" s="121"/>
      <c r="BM265" s="121"/>
    </row>
    <row r="266" spans="1:65" x14ac:dyDescent="0.25">
      <c r="A266" s="120">
        <v>265</v>
      </c>
      <c r="B266" s="120" t="b">
        <v>0</v>
      </c>
      <c r="C266" s="120">
        <v>0</v>
      </c>
      <c r="D266" s="61">
        <v>1</v>
      </c>
      <c r="E266" s="120">
        <v>1</v>
      </c>
      <c r="F266" s="120" t="s">
        <v>174</v>
      </c>
      <c r="G266" s="55">
        <v>60</v>
      </c>
      <c r="H266" s="120">
        <v>192</v>
      </c>
      <c r="I266" s="57">
        <v>175</v>
      </c>
      <c r="J266" s="120">
        <v>185</v>
      </c>
      <c r="K266" s="120">
        <v>11</v>
      </c>
      <c r="L266" s="120">
        <v>60</v>
      </c>
      <c r="M266" s="120">
        <v>15</v>
      </c>
      <c r="N266" s="120">
        <v>40</v>
      </c>
      <c r="O266" s="120">
        <v>2</v>
      </c>
      <c r="P266" s="120">
        <v>25</v>
      </c>
      <c r="Q266" s="120">
        <v>63</v>
      </c>
      <c r="R266" s="120">
        <v>51.299999237060497</v>
      </c>
      <c r="S266" s="148">
        <v>26.700000762939499</v>
      </c>
      <c r="T266" s="120">
        <v>70</v>
      </c>
      <c r="U266" s="120">
        <v>18</v>
      </c>
      <c r="V266" s="120">
        <v>-9999</v>
      </c>
      <c r="W266" s="120">
        <v>-9999</v>
      </c>
      <c r="X266" s="120">
        <v>-9999</v>
      </c>
      <c r="Y266" s="120">
        <v>-9999</v>
      </c>
      <c r="Z266" s="120">
        <v>-9999</v>
      </c>
      <c r="AA266" s="120">
        <v>68</v>
      </c>
      <c r="AB266" s="120">
        <v>14.5</v>
      </c>
      <c r="AC266" s="120">
        <v>265</v>
      </c>
      <c r="AD266" s="120">
        <v>1537</v>
      </c>
      <c r="AE266" s="120">
        <v>-9999</v>
      </c>
      <c r="AF266" s="120">
        <v>-9999</v>
      </c>
      <c r="AG266" s="120">
        <v>-9999</v>
      </c>
      <c r="AQ266" s="63">
        <v>4</v>
      </c>
      <c r="AR266" s="63">
        <v>100</v>
      </c>
      <c r="AS266" s="63">
        <v>150</v>
      </c>
      <c r="AT266" s="63" t="e">
        <f>AVERAGEIFS(Compressors!$S:$S,Compressors!$G:$G,AS266,Compressors!$I:$I,AR266,Compressors!$D:$D,AQ266)</f>
        <v>#DIV/0!</v>
      </c>
      <c r="AU266" s="53">
        <f>AU258*$BE$209</f>
        <v>0</v>
      </c>
      <c r="BB266" s="121">
        <v>200</v>
      </c>
      <c r="BC266" s="121">
        <v>19.5</v>
      </c>
      <c r="BD266" s="125">
        <v>125</v>
      </c>
      <c r="BE266" s="121"/>
      <c r="BF266" s="121"/>
      <c r="BG266" s="121"/>
      <c r="BH266" s="121"/>
      <c r="BI266" s="121"/>
      <c r="BJ266" s="121"/>
      <c r="BK266" s="121"/>
      <c r="BL266" s="121"/>
      <c r="BM266" s="121"/>
    </row>
    <row r="267" spans="1:65" x14ac:dyDescent="0.25">
      <c r="A267" s="120">
        <v>266</v>
      </c>
      <c r="B267" s="120" t="b">
        <v>0</v>
      </c>
      <c r="C267" s="120">
        <v>0</v>
      </c>
      <c r="D267" s="61">
        <v>1</v>
      </c>
      <c r="E267" s="120">
        <v>1</v>
      </c>
      <c r="F267" s="120" t="s">
        <v>175</v>
      </c>
      <c r="G267" s="55">
        <v>75</v>
      </c>
      <c r="H267" s="120">
        <v>365</v>
      </c>
      <c r="I267" s="57">
        <v>100</v>
      </c>
      <c r="J267" s="120">
        <v>110</v>
      </c>
      <c r="K267" s="120">
        <v>1</v>
      </c>
      <c r="L267" s="120">
        <v>50</v>
      </c>
      <c r="M267" s="120">
        <v>15</v>
      </c>
      <c r="N267" s="120">
        <v>40</v>
      </c>
      <c r="O267" s="120">
        <v>2</v>
      </c>
      <c r="P267" s="120">
        <v>5</v>
      </c>
      <c r="Q267" s="120">
        <v>78.800003051757798</v>
      </c>
      <c r="R267" s="120">
        <v>64.099998474121094</v>
      </c>
      <c r="S267" s="148">
        <v>17.5</v>
      </c>
      <c r="T267" s="120">
        <v>65</v>
      </c>
      <c r="U267" s="120">
        <v>16</v>
      </c>
      <c r="V267" s="120">
        <v>-9999</v>
      </c>
      <c r="W267" s="120">
        <v>-9999</v>
      </c>
      <c r="X267" s="120">
        <v>-9999</v>
      </c>
      <c r="Y267" s="120">
        <v>-9999</v>
      </c>
      <c r="Z267" s="120">
        <v>-9999</v>
      </c>
      <c r="AA267" s="120">
        <v>68</v>
      </c>
      <c r="AB267" s="120">
        <v>14.5</v>
      </c>
      <c r="AC267" s="120">
        <v>266</v>
      </c>
      <c r="AD267" s="120">
        <v>1538</v>
      </c>
      <c r="AE267" s="120">
        <v>-9999</v>
      </c>
      <c r="AF267" s="120">
        <v>-9999</v>
      </c>
      <c r="AG267" s="120">
        <v>-9999</v>
      </c>
      <c r="AQ267" s="63">
        <v>4</v>
      </c>
      <c r="AR267" s="63">
        <v>110</v>
      </c>
      <c r="AS267" s="63">
        <v>150</v>
      </c>
      <c r="AT267" s="63" t="e">
        <f>AVERAGEIFS(Compressors!$S:$S,Compressors!$G:$G,AS267,Compressors!$I:$I,AR267,Compressors!$D:$D,AQ267)</f>
        <v>#DIV/0!</v>
      </c>
      <c r="AU267" s="53">
        <f>AU259*$BE$209</f>
        <v>0</v>
      </c>
      <c r="BB267" s="121">
        <v>200</v>
      </c>
      <c r="BC267" s="121">
        <v>19.5</v>
      </c>
      <c r="BD267" s="125">
        <v>125</v>
      </c>
      <c r="BE267" s="121"/>
      <c r="BF267" s="121"/>
      <c r="BG267" s="121"/>
      <c r="BH267" s="121"/>
      <c r="BI267" s="121"/>
      <c r="BJ267" s="121"/>
      <c r="BK267" s="121"/>
      <c r="BL267" s="121"/>
      <c r="BM267" s="121"/>
    </row>
    <row r="268" spans="1:65" x14ac:dyDescent="0.25">
      <c r="A268" s="120">
        <v>267</v>
      </c>
      <c r="B268" s="120" t="b">
        <v>0</v>
      </c>
      <c r="C268" s="120">
        <v>0</v>
      </c>
      <c r="D268" s="61">
        <v>1</v>
      </c>
      <c r="E268" s="120">
        <v>1</v>
      </c>
      <c r="F268" s="120" t="s">
        <v>175</v>
      </c>
      <c r="G268" s="55">
        <v>75</v>
      </c>
      <c r="H268" s="120">
        <v>383</v>
      </c>
      <c r="I268" s="57">
        <v>100</v>
      </c>
      <c r="J268" s="120">
        <v>100</v>
      </c>
      <c r="K268" s="120">
        <v>2</v>
      </c>
      <c r="L268" s="120">
        <v>50</v>
      </c>
      <c r="M268" s="120">
        <v>15</v>
      </c>
      <c r="N268" s="120">
        <v>40</v>
      </c>
      <c r="O268" s="120">
        <v>2</v>
      </c>
      <c r="P268" s="120">
        <v>20</v>
      </c>
      <c r="Q268" s="120">
        <v>82.5</v>
      </c>
      <c r="R268" s="120">
        <v>67.099998474121094</v>
      </c>
      <c r="S268" s="148">
        <v>17.5</v>
      </c>
      <c r="T268" s="120">
        <v>65</v>
      </c>
      <c r="U268" s="120">
        <v>16</v>
      </c>
      <c r="V268" s="120">
        <v>-9999</v>
      </c>
      <c r="W268" s="120">
        <v>-9999</v>
      </c>
      <c r="X268" s="120">
        <v>-9999</v>
      </c>
      <c r="Y268" s="120">
        <v>-9999</v>
      </c>
      <c r="Z268" s="120">
        <v>-9999</v>
      </c>
      <c r="AA268" s="120">
        <v>68</v>
      </c>
      <c r="AB268" s="120">
        <v>14.5</v>
      </c>
      <c r="AC268" s="120">
        <v>267</v>
      </c>
      <c r="AD268" s="120">
        <v>1539</v>
      </c>
      <c r="AE268" s="120">
        <v>-9999</v>
      </c>
      <c r="AF268" s="120">
        <v>-9999</v>
      </c>
      <c r="AG268" s="120">
        <v>-9999</v>
      </c>
      <c r="AQ268" s="63">
        <v>4</v>
      </c>
      <c r="AR268" s="63">
        <v>115</v>
      </c>
      <c r="AS268" s="63">
        <v>150</v>
      </c>
      <c r="AT268" s="63" t="e">
        <f>AVERAGEIFS(Compressors!$S:$S,Compressors!$G:$G,AS268,Compressors!$I:$I,AR268,Compressors!$D:$D,AQ268)</f>
        <v>#DIV/0!</v>
      </c>
      <c r="AU268" s="53">
        <f>AU260*$BE$209</f>
        <v>0</v>
      </c>
      <c r="BB268" s="121">
        <v>250</v>
      </c>
      <c r="BC268" s="121">
        <v>17.399999618530298</v>
      </c>
      <c r="BD268" s="125">
        <v>100</v>
      </c>
      <c r="BE268" s="121"/>
      <c r="BF268" s="121"/>
      <c r="BG268" s="121"/>
      <c r="BH268" s="121"/>
      <c r="BI268" s="121"/>
      <c r="BJ268" s="121"/>
      <c r="BK268" s="121"/>
      <c r="BL268" s="121"/>
      <c r="BM268" s="121"/>
    </row>
    <row r="269" spans="1:65" x14ac:dyDescent="0.25">
      <c r="A269" s="120">
        <v>268</v>
      </c>
      <c r="B269" s="120" t="b">
        <v>0</v>
      </c>
      <c r="C269" s="120">
        <v>0</v>
      </c>
      <c r="D269" s="61">
        <v>1</v>
      </c>
      <c r="E269" s="120">
        <v>1</v>
      </c>
      <c r="F269" s="120" t="s">
        <v>175</v>
      </c>
      <c r="G269" s="55">
        <v>75</v>
      </c>
      <c r="H269" s="120">
        <v>383</v>
      </c>
      <c r="I269" s="57">
        <v>100</v>
      </c>
      <c r="J269" s="120">
        <v>100</v>
      </c>
      <c r="K269" s="120">
        <v>3</v>
      </c>
      <c r="L269" s="120">
        <v>40</v>
      </c>
      <c r="M269" s="120">
        <v>15</v>
      </c>
      <c r="N269" s="120">
        <v>40</v>
      </c>
      <c r="O269" s="120">
        <v>2</v>
      </c>
      <c r="P269" s="120">
        <v>16.666999816894499</v>
      </c>
      <c r="Q269" s="120">
        <v>82.5</v>
      </c>
      <c r="R269" s="120">
        <v>67.099998474121094</v>
      </c>
      <c r="S269" s="148">
        <v>17.5</v>
      </c>
      <c r="T269" s="120">
        <v>57</v>
      </c>
      <c r="U269" s="120">
        <v>16</v>
      </c>
      <c r="V269" s="120">
        <v>-9999</v>
      </c>
      <c r="W269" s="120">
        <v>-9999</v>
      </c>
      <c r="X269" s="120">
        <v>-9999</v>
      </c>
      <c r="Y269" s="120">
        <v>-9999</v>
      </c>
      <c r="Z269" s="120">
        <v>-9999</v>
      </c>
      <c r="AA269" s="120">
        <v>68</v>
      </c>
      <c r="AB269" s="120">
        <v>14.5</v>
      </c>
      <c r="AC269" s="120">
        <v>268</v>
      </c>
      <c r="AD269" s="120">
        <v>1540</v>
      </c>
      <c r="AE269" s="120">
        <v>-9999</v>
      </c>
      <c r="AF269" s="120">
        <v>-9999</v>
      </c>
      <c r="AG269" s="120">
        <v>-9999</v>
      </c>
      <c r="AQ269" s="63">
        <v>4</v>
      </c>
      <c r="AR269" s="63">
        <v>125</v>
      </c>
      <c r="AS269" s="63">
        <v>150</v>
      </c>
      <c r="AT269" s="63" t="e">
        <f>AVERAGEIFS(Compressors!$S:$S,Compressors!$G:$G,AS269,Compressors!$I:$I,AR269,Compressors!$D:$D,AQ269)</f>
        <v>#DIV/0!</v>
      </c>
      <c r="AU269" s="53">
        <f>AU261*$BE$209</f>
        <v>0</v>
      </c>
      <c r="BB269" s="121">
        <v>250</v>
      </c>
      <c r="BC269" s="121">
        <v>17.399999618530298</v>
      </c>
      <c r="BD269" s="125">
        <v>100</v>
      </c>
      <c r="BE269" s="121"/>
      <c r="BF269" s="121"/>
      <c r="BG269" s="121"/>
      <c r="BH269" s="121"/>
      <c r="BI269" s="121"/>
      <c r="BJ269" s="121"/>
      <c r="BK269" s="121"/>
      <c r="BL269" s="121"/>
      <c r="BM269" s="121"/>
    </row>
    <row r="270" spans="1:65" x14ac:dyDescent="0.25">
      <c r="A270" s="120">
        <v>269</v>
      </c>
      <c r="B270" s="120" t="b">
        <v>0</v>
      </c>
      <c r="C270" s="120">
        <v>0</v>
      </c>
      <c r="D270" s="61">
        <v>1</v>
      </c>
      <c r="E270" s="120">
        <v>1</v>
      </c>
      <c r="F270" s="120" t="s">
        <v>175</v>
      </c>
      <c r="G270" s="55">
        <v>75</v>
      </c>
      <c r="H270" s="120">
        <v>365</v>
      </c>
      <c r="I270" s="57">
        <v>100</v>
      </c>
      <c r="J270" s="120">
        <v>110</v>
      </c>
      <c r="K270" s="120">
        <v>4</v>
      </c>
      <c r="L270" s="120">
        <v>100</v>
      </c>
      <c r="M270" s="120">
        <v>15</v>
      </c>
      <c r="N270" s="120">
        <v>40</v>
      </c>
      <c r="O270" s="120">
        <v>2</v>
      </c>
      <c r="P270" s="120">
        <v>-9999</v>
      </c>
      <c r="Q270" s="120">
        <v>78.800003051757798</v>
      </c>
      <c r="R270" s="120">
        <v>64.099998474121094</v>
      </c>
      <c r="S270" s="148">
        <v>17.5</v>
      </c>
      <c r="T270" s="120">
        <v>-9999</v>
      </c>
      <c r="U270" s="120">
        <v>16</v>
      </c>
      <c r="V270" s="120">
        <v>-9999</v>
      </c>
      <c r="W270" s="120">
        <v>-9999</v>
      </c>
      <c r="X270" s="120">
        <v>-9999</v>
      </c>
      <c r="Y270" s="120">
        <v>-9999</v>
      </c>
      <c r="Z270" s="120">
        <v>-9999</v>
      </c>
      <c r="AA270" s="120">
        <v>68</v>
      </c>
      <c r="AB270" s="120">
        <v>14.5</v>
      </c>
      <c r="AC270" s="120">
        <v>269</v>
      </c>
      <c r="AD270" s="120">
        <v>1541</v>
      </c>
      <c r="AE270" s="120">
        <v>-9999</v>
      </c>
      <c r="AF270" s="120">
        <v>-9999</v>
      </c>
      <c r="AG270" s="120">
        <v>-9999</v>
      </c>
      <c r="AQ270" s="63">
        <v>5</v>
      </c>
      <c r="AR270" s="63">
        <v>100</v>
      </c>
      <c r="AS270" s="63">
        <v>150</v>
      </c>
      <c r="AT270" s="63">
        <f>AVERAGEIFS(Compressors!$S:$S,Compressors!$G:$G,AS270,Compressors!$I:$I,AR270,Compressors!$D:$D,AQ270)</f>
        <v>14.8999996185303</v>
      </c>
      <c r="AU270" s="63">
        <v>14.8999996185303</v>
      </c>
      <c r="BB270" s="121">
        <v>250</v>
      </c>
      <c r="BC270" s="121">
        <v>17.399999618530298</v>
      </c>
      <c r="BD270" s="125">
        <v>100</v>
      </c>
      <c r="BE270" s="121"/>
      <c r="BF270" s="121"/>
      <c r="BG270" s="121"/>
      <c r="BH270" s="121"/>
      <c r="BI270" s="121"/>
      <c r="BJ270" s="121"/>
      <c r="BK270" s="121"/>
      <c r="BL270" s="121"/>
      <c r="BM270" s="121"/>
    </row>
    <row r="271" spans="1:65" x14ac:dyDescent="0.25">
      <c r="A271" s="120">
        <v>270</v>
      </c>
      <c r="B271" s="120" t="b">
        <v>0</v>
      </c>
      <c r="C271" s="120">
        <v>0</v>
      </c>
      <c r="D271" s="61">
        <v>1</v>
      </c>
      <c r="E271" s="120">
        <v>1</v>
      </c>
      <c r="F271" s="120" t="s">
        <v>175</v>
      </c>
      <c r="G271" s="55">
        <v>75</v>
      </c>
      <c r="H271" s="120">
        <v>365</v>
      </c>
      <c r="I271" s="57">
        <v>100</v>
      </c>
      <c r="J271" s="120">
        <v>110</v>
      </c>
      <c r="K271" s="120">
        <v>11</v>
      </c>
      <c r="L271" s="120">
        <v>60</v>
      </c>
      <c r="M271" s="120">
        <v>15</v>
      </c>
      <c r="N271" s="120">
        <v>40</v>
      </c>
      <c r="O271" s="120">
        <v>2</v>
      </c>
      <c r="P271" s="120">
        <v>25</v>
      </c>
      <c r="Q271" s="120">
        <v>78.800003051757798</v>
      </c>
      <c r="R271" s="120">
        <v>64.099998474121094</v>
      </c>
      <c r="S271" s="148">
        <v>17.5</v>
      </c>
      <c r="T271" s="120">
        <v>70</v>
      </c>
      <c r="U271" s="120">
        <v>16</v>
      </c>
      <c r="V271" s="120">
        <v>-9999</v>
      </c>
      <c r="W271" s="120">
        <v>-9999</v>
      </c>
      <c r="X271" s="120">
        <v>-9999</v>
      </c>
      <c r="Y271" s="120">
        <v>-9999</v>
      </c>
      <c r="Z271" s="120">
        <v>-9999</v>
      </c>
      <c r="AA271" s="120">
        <v>68</v>
      </c>
      <c r="AB271" s="120">
        <v>14.5</v>
      </c>
      <c r="AC271" s="120">
        <v>270</v>
      </c>
      <c r="AD271" s="120">
        <v>1542</v>
      </c>
      <c r="AE271" s="120">
        <v>-9999</v>
      </c>
      <c r="AF271" s="120">
        <v>-9999</v>
      </c>
      <c r="AG271" s="120">
        <v>-9999</v>
      </c>
      <c r="AQ271" s="63">
        <v>5</v>
      </c>
      <c r="AR271" s="63">
        <v>110</v>
      </c>
      <c r="AS271" s="63">
        <v>150</v>
      </c>
      <c r="AT271" s="63">
        <f>AVERAGEIFS(Compressors!$S:$S,Compressors!$G:$G,AS271,Compressors!$I:$I,AR271,Compressors!$D:$D,AQ271)</f>
        <v>15.6000003814697</v>
      </c>
      <c r="AU271" s="63">
        <v>15.6000003814697</v>
      </c>
      <c r="BB271" s="121">
        <v>250</v>
      </c>
      <c r="BC271" s="121">
        <v>17.399999618530298</v>
      </c>
      <c r="BD271" s="125">
        <v>100</v>
      </c>
      <c r="BE271" s="121"/>
      <c r="BF271" s="121"/>
      <c r="BG271" s="121"/>
      <c r="BH271" s="121"/>
      <c r="BI271" s="121"/>
      <c r="BJ271" s="121"/>
      <c r="BK271" s="121"/>
      <c r="BL271" s="121"/>
      <c r="BM271" s="121"/>
    </row>
    <row r="272" spans="1:65" x14ac:dyDescent="0.25">
      <c r="A272" s="120">
        <v>271</v>
      </c>
      <c r="B272" s="120" t="b">
        <v>0</v>
      </c>
      <c r="C272" s="120">
        <v>0</v>
      </c>
      <c r="D272" s="61">
        <v>1</v>
      </c>
      <c r="E272" s="120">
        <v>1</v>
      </c>
      <c r="F272" s="120" t="s">
        <v>175</v>
      </c>
      <c r="G272" s="55">
        <v>75</v>
      </c>
      <c r="H272" s="120">
        <v>355</v>
      </c>
      <c r="I272" s="57">
        <v>110</v>
      </c>
      <c r="J272" s="120">
        <v>120</v>
      </c>
      <c r="K272" s="120">
        <v>1</v>
      </c>
      <c r="L272" s="120">
        <v>50</v>
      </c>
      <c r="M272" s="120">
        <v>15</v>
      </c>
      <c r="N272" s="120">
        <v>40</v>
      </c>
      <c r="O272" s="120">
        <v>2</v>
      </c>
      <c r="P272" s="120">
        <v>5</v>
      </c>
      <c r="Q272" s="120">
        <v>78.800003051757798</v>
      </c>
      <c r="R272" s="120">
        <v>64.099998474121094</v>
      </c>
      <c r="S272" s="148">
        <v>18</v>
      </c>
      <c r="T272" s="120">
        <v>65</v>
      </c>
      <c r="U272" s="120">
        <v>16</v>
      </c>
      <c r="V272" s="120">
        <v>-9999</v>
      </c>
      <c r="W272" s="120">
        <v>-9999</v>
      </c>
      <c r="X272" s="120">
        <v>-9999</v>
      </c>
      <c r="Y272" s="120">
        <v>-9999</v>
      </c>
      <c r="Z272" s="120">
        <v>-9999</v>
      </c>
      <c r="AA272" s="120">
        <v>68</v>
      </c>
      <c r="AB272" s="120">
        <v>14.5</v>
      </c>
      <c r="AC272" s="120">
        <v>271</v>
      </c>
      <c r="AD272" s="120">
        <v>1543</v>
      </c>
      <c r="AE272" s="120">
        <v>-9999</v>
      </c>
      <c r="AF272" s="120">
        <v>-9999</v>
      </c>
      <c r="AG272" s="120">
        <v>-9999</v>
      </c>
      <c r="AQ272" s="63">
        <v>5</v>
      </c>
      <c r="AR272" s="63">
        <v>115</v>
      </c>
      <c r="AS272" s="63">
        <v>150</v>
      </c>
      <c r="AT272" s="63">
        <f>AVERAGEIFS(Compressors!$S:$S,Compressors!$G:$G,AS272,Compressors!$I:$I,AR272,Compressors!$D:$D,AQ272)</f>
        <v>16</v>
      </c>
      <c r="AU272" s="63">
        <v>16</v>
      </c>
      <c r="BB272" s="121">
        <v>250</v>
      </c>
      <c r="BC272" s="121">
        <v>17.399999618530298</v>
      </c>
      <c r="BD272" s="125">
        <v>100</v>
      </c>
      <c r="BE272" s="121"/>
      <c r="BF272" s="121"/>
      <c r="BG272" s="121"/>
      <c r="BH272" s="121"/>
      <c r="BI272" s="121"/>
      <c r="BJ272" s="121"/>
      <c r="BK272" s="121"/>
      <c r="BL272" s="121"/>
      <c r="BM272" s="121"/>
    </row>
    <row r="273" spans="1:65" x14ac:dyDescent="0.25">
      <c r="A273" s="120">
        <v>272</v>
      </c>
      <c r="B273" s="120" t="b">
        <v>0</v>
      </c>
      <c r="C273" s="120">
        <v>0</v>
      </c>
      <c r="D273" s="61">
        <v>1</v>
      </c>
      <c r="E273" s="120">
        <v>1</v>
      </c>
      <c r="F273" s="120" t="s">
        <v>175</v>
      </c>
      <c r="G273" s="55">
        <v>75</v>
      </c>
      <c r="H273" s="120">
        <v>372</v>
      </c>
      <c r="I273" s="57">
        <v>110</v>
      </c>
      <c r="J273" s="120">
        <v>110</v>
      </c>
      <c r="K273" s="120">
        <v>2</v>
      </c>
      <c r="L273" s="120">
        <v>50</v>
      </c>
      <c r="M273" s="120">
        <v>15</v>
      </c>
      <c r="N273" s="120">
        <v>40</v>
      </c>
      <c r="O273" s="120">
        <v>2</v>
      </c>
      <c r="P273" s="120">
        <v>20</v>
      </c>
      <c r="Q273" s="120">
        <v>82.5</v>
      </c>
      <c r="R273" s="120">
        <v>67.099998474121094</v>
      </c>
      <c r="S273" s="148">
        <v>18</v>
      </c>
      <c r="T273" s="120">
        <v>65</v>
      </c>
      <c r="U273" s="120">
        <v>16</v>
      </c>
      <c r="V273" s="120">
        <v>-9999</v>
      </c>
      <c r="W273" s="120">
        <v>-9999</v>
      </c>
      <c r="X273" s="120">
        <v>-9999</v>
      </c>
      <c r="Y273" s="120">
        <v>-9999</v>
      </c>
      <c r="Z273" s="120">
        <v>-9999</v>
      </c>
      <c r="AA273" s="120">
        <v>68</v>
      </c>
      <c r="AB273" s="120">
        <v>14.5</v>
      </c>
      <c r="AC273" s="120">
        <v>272</v>
      </c>
      <c r="AD273" s="120">
        <v>1544</v>
      </c>
      <c r="AE273" s="120">
        <v>-9999</v>
      </c>
      <c r="AF273" s="120">
        <v>-9999</v>
      </c>
      <c r="AG273" s="120">
        <v>-9999</v>
      </c>
      <c r="AQ273" s="63">
        <v>5</v>
      </c>
      <c r="AR273" s="63">
        <v>125</v>
      </c>
      <c r="AS273" s="63">
        <v>150</v>
      </c>
      <c r="AT273" s="63">
        <f>AVERAGEIFS(Compressors!$S:$S,Compressors!$G:$G,AS273,Compressors!$I:$I,AR273,Compressors!$D:$D,AQ273)</f>
        <v>16.600000381469702</v>
      </c>
      <c r="AU273" s="63">
        <v>16.600000381469702</v>
      </c>
      <c r="BB273" s="121">
        <v>250</v>
      </c>
      <c r="BC273" s="121">
        <v>17.700000762939499</v>
      </c>
      <c r="BD273" s="125">
        <v>110</v>
      </c>
      <c r="BE273" s="121"/>
      <c r="BF273" s="121"/>
      <c r="BG273" s="121"/>
      <c r="BH273" s="121"/>
      <c r="BI273" s="121"/>
      <c r="BJ273" s="121"/>
      <c r="BK273" s="121"/>
      <c r="BL273" s="121"/>
      <c r="BM273" s="121"/>
    </row>
    <row r="274" spans="1:65" x14ac:dyDescent="0.25">
      <c r="A274" s="120">
        <v>273</v>
      </c>
      <c r="B274" s="120" t="b">
        <v>0</v>
      </c>
      <c r="C274" s="120">
        <v>0</v>
      </c>
      <c r="D274" s="61">
        <v>1</v>
      </c>
      <c r="E274" s="120">
        <v>1</v>
      </c>
      <c r="F274" s="120" t="s">
        <v>175</v>
      </c>
      <c r="G274" s="55">
        <v>75</v>
      </c>
      <c r="H274" s="120">
        <v>372</v>
      </c>
      <c r="I274" s="57">
        <v>110</v>
      </c>
      <c r="J274" s="120">
        <v>110</v>
      </c>
      <c r="K274" s="120">
        <v>3</v>
      </c>
      <c r="L274" s="120">
        <v>40</v>
      </c>
      <c r="M274" s="120">
        <v>15</v>
      </c>
      <c r="N274" s="120">
        <v>40</v>
      </c>
      <c r="O274" s="120">
        <v>2</v>
      </c>
      <c r="P274" s="120">
        <v>16.666999816894499</v>
      </c>
      <c r="Q274" s="120">
        <v>82.5</v>
      </c>
      <c r="R274" s="120">
        <v>67.099998474121094</v>
      </c>
      <c r="S274" s="148">
        <v>18</v>
      </c>
      <c r="T274" s="120">
        <v>57</v>
      </c>
      <c r="U274" s="120">
        <v>16</v>
      </c>
      <c r="V274" s="120">
        <v>-9999</v>
      </c>
      <c r="W274" s="120">
        <v>-9999</v>
      </c>
      <c r="X274" s="120">
        <v>-9999</v>
      </c>
      <c r="Y274" s="120">
        <v>-9999</v>
      </c>
      <c r="Z274" s="120">
        <v>-9999</v>
      </c>
      <c r="AA274" s="120">
        <v>68</v>
      </c>
      <c r="AB274" s="120">
        <v>14.5</v>
      </c>
      <c r="AC274" s="120">
        <v>273</v>
      </c>
      <c r="AD274" s="120">
        <v>1545</v>
      </c>
      <c r="AE274" s="120">
        <v>-9999</v>
      </c>
      <c r="AF274" s="120">
        <v>-9999</v>
      </c>
      <c r="AG274" s="120">
        <v>-9999</v>
      </c>
      <c r="AQ274" s="63">
        <v>6</v>
      </c>
      <c r="AR274" s="63">
        <v>100</v>
      </c>
      <c r="AS274" s="63">
        <v>150</v>
      </c>
      <c r="AT274" s="63" t="e">
        <f>AVERAGEIFS(Compressors!$S:$S,Compressors!$G:$G,AS274,Compressors!$I:$I,AR274,Compressors!$D:$D,AQ274)</f>
        <v>#DIV/0!</v>
      </c>
      <c r="AU274" s="53"/>
      <c r="BB274" s="121">
        <v>250</v>
      </c>
      <c r="BC274" s="121">
        <v>17.700000762939499</v>
      </c>
      <c r="BD274" s="125">
        <v>110</v>
      </c>
      <c r="BE274" s="121"/>
      <c r="BF274" s="121"/>
      <c r="BG274" s="121"/>
      <c r="BH274" s="121"/>
      <c r="BI274" s="121"/>
      <c r="BJ274" s="121"/>
      <c r="BK274" s="121"/>
      <c r="BL274" s="121"/>
      <c r="BM274" s="121"/>
    </row>
    <row r="275" spans="1:65" x14ac:dyDescent="0.25">
      <c r="A275" s="120">
        <v>274</v>
      </c>
      <c r="B275" s="120" t="b">
        <v>0</v>
      </c>
      <c r="C275" s="120">
        <v>0</v>
      </c>
      <c r="D275" s="61">
        <v>1</v>
      </c>
      <c r="E275" s="120">
        <v>1</v>
      </c>
      <c r="F275" s="120" t="s">
        <v>175</v>
      </c>
      <c r="G275" s="55">
        <v>75</v>
      </c>
      <c r="H275" s="120">
        <v>355</v>
      </c>
      <c r="I275" s="57">
        <v>110</v>
      </c>
      <c r="J275" s="120">
        <v>120</v>
      </c>
      <c r="K275" s="120">
        <v>4</v>
      </c>
      <c r="L275" s="120">
        <v>100</v>
      </c>
      <c r="M275" s="120">
        <v>15</v>
      </c>
      <c r="N275" s="120">
        <v>40</v>
      </c>
      <c r="O275" s="120">
        <v>2</v>
      </c>
      <c r="P275" s="120">
        <v>-9999</v>
      </c>
      <c r="Q275" s="120">
        <v>78.800003051757798</v>
      </c>
      <c r="R275" s="120">
        <v>64.099998474121094</v>
      </c>
      <c r="S275" s="148">
        <v>18</v>
      </c>
      <c r="T275" s="120">
        <v>-9999</v>
      </c>
      <c r="U275" s="120">
        <v>16</v>
      </c>
      <c r="V275" s="120">
        <v>-9999</v>
      </c>
      <c r="W275" s="120">
        <v>-9999</v>
      </c>
      <c r="X275" s="120">
        <v>-9999</v>
      </c>
      <c r="Y275" s="120">
        <v>-9999</v>
      </c>
      <c r="Z275" s="120">
        <v>-9999</v>
      </c>
      <c r="AA275" s="120">
        <v>68</v>
      </c>
      <c r="AB275" s="120">
        <v>14.5</v>
      </c>
      <c r="AC275" s="120">
        <v>274</v>
      </c>
      <c r="AD275" s="120">
        <v>1546</v>
      </c>
      <c r="AE275" s="120">
        <v>-9999</v>
      </c>
      <c r="AF275" s="120">
        <v>-9999</v>
      </c>
      <c r="AG275" s="120">
        <v>-9999</v>
      </c>
      <c r="AQ275" s="63">
        <v>6</v>
      </c>
      <c r="AR275" s="63">
        <v>110</v>
      </c>
      <c r="AS275" s="63">
        <v>150</v>
      </c>
      <c r="AT275" s="63" t="e">
        <f>AVERAGEIFS(Compressors!$S:$S,Compressors!$G:$G,AS275,Compressors!$I:$I,AR275,Compressors!$D:$D,AQ275)</f>
        <v>#DIV/0!</v>
      </c>
      <c r="AU275" s="53"/>
      <c r="BB275" s="121">
        <v>250</v>
      </c>
      <c r="BC275" s="121">
        <v>17.700000762939499</v>
      </c>
      <c r="BD275" s="125">
        <v>110</v>
      </c>
      <c r="BE275" s="121"/>
      <c r="BF275" s="121"/>
      <c r="BG275" s="121"/>
      <c r="BH275" s="121"/>
      <c r="BI275" s="121"/>
      <c r="BJ275" s="121"/>
      <c r="BK275" s="121"/>
      <c r="BL275" s="121"/>
      <c r="BM275" s="121"/>
    </row>
    <row r="276" spans="1:65" x14ac:dyDescent="0.25">
      <c r="A276" s="120">
        <v>275</v>
      </c>
      <c r="B276" s="120" t="b">
        <v>0</v>
      </c>
      <c r="C276" s="120">
        <v>0</v>
      </c>
      <c r="D276" s="61">
        <v>1</v>
      </c>
      <c r="E276" s="120">
        <v>1</v>
      </c>
      <c r="F276" s="120" t="s">
        <v>175</v>
      </c>
      <c r="G276" s="55">
        <v>75</v>
      </c>
      <c r="H276" s="120">
        <v>355</v>
      </c>
      <c r="I276" s="57">
        <v>110</v>
      </c>
      <c r="J276" s="120">
        <v>120</v>
      </c>
      <c r="K276" s="120">
        <v>11</v>
      </c>
      <c r="L276" s="120">
        <v>60</v>
      </c>
      <c r="M276" s="120">
        <v>15</v>
      </c>
      <c r="N276" s="120">
        <v>40</v>
      </c>
      <c r="O276" s="120">
        <v>2</v>
      </c>
      <c r="P276" s="120">
        <v>25</v>
      </c>
      <c r="Q276" s="120">
        <v>78.800003051757798</v>
      </c>
      <c r="R276" s="120">
        <v>64.099998474121094</v>
      </c>
      <c r="S276" s="148">
        <v>18</v>
      </c>
      <c r="T276" s="120">
        <v>70</v>
      </c>
      <c r="U276" s="120">
        <v>16</v>
      </c>
      <c r="V276" s="120">
        <v>-9999</v>
      </c>
      <c r="W276" s="120">
        <v>-9999</v>
      </c>
      <c r="X276" s="120">
        <v>-9999</v>
      </c>
      <c r="Y276" s="120">
        <v>-9999</v>
      </c>
      <c r="Z276" s="120">
        <v>-9999</v>
      </c>
      <c r="AA276" s="120">
        <v>68</v>
      </c>
      <c r="AB276" s="120">
        <v>14.5</v>
      </c>
      <c r="AC276" s="120">
        <v>275</v>
      </c>
      <c r="AD276" s="120">
        <v>1547</v>
      </c>
      <c r="AE276" s="120">
        <v>-9999</v>
      </c>
      <c r="AF276" s="120">
        <v>-9999</v>
      </c>
      <c r="AG276" s="120">
        <v>-9999</v>
      </c>
      <c r="AQ276" s="63">
        <v>6</v>
      </c>
      <c r="AR276" s="63">
        <v>115</v>
      </c>
      <c r="AS276" s="63">
        <v>150</v>
      </c>
      <c r="AT276" s="63" t="e">
        <f>AVERAGEIFS(Compressors!$S:$S,Compressors!$G:$G,AS276,Compressors!$I:$I,AR276,Compressors!$D:$D,AQ276)</f>
        <v>#DIV/0!</v>
      </c>
      <c r="AU276" s="53"/>
      <c r="BB276" s="121">
        <v>250</v>
      </c>
      <c r="BC276" s="121">
        <v>17.700000762939499</v>
      </c>
      <c r="BD276" s="125">
        <v>110</v>
      </c>
      <c r="BE276" s="121"/>
      <c r="BF276" s="121"/>
      <c r="BG276" s="121"/>
      <c r="BH276" s="121"/>
      <c r="BI276" s="121"/>
      <c r="BJ276" s="121"/>
      <c r="BK276" s="121"/>
      <c r="BL276" s="121"/>
      <c r="BM276" s="121"/>
    </row>
    <row r="277" spans="1:65" x14ac:dyDescent="0.25">
      <c r="A277" s="120">
        <v>276</v>
      </c>
      <c r="B277" s="120" t="b">
        <v>0</v>
      </c>
      <c r="C277" s="120">
        <v>0</v>
      </c>
      <c r="D277" s="61">
        <v>1</v>
      </c>
      <c r="E277" s="120">
        <v>1</v>
      </c>
      <c r="F277" s="120" t="s">
        <v>175</v>
      </c>
      <c r="G277" s="55">
        <v>75</v>
      </c>
      <c r="H277" s="120">
        <v>331</v>
      </c>
      <c r="I277" s="57">
        <v>115</v>
      </c>
      <c r="J277" s="120">
        <v>125</v>
      </c>
      <c r="K277" s="120">
        <v>1</v>
      </c>
      <c r="L277" s="120">
        <v>50</v>
      </c>
      <c r="M277" s="120">
        <v>15</v>
      </c>
      <c r="N277" s="120">
        <v>40</v>
      </c>
      <c r="O277" s="120">
        <v>2</v>
      </c>
      <c r="P277" s="120">
        <v>5</v>
      </c>
      <c r="Q277" s="120">
        <v>78.800003051757798</v>
      </c>
      <c r="R277" s="120">
        <v>64.099998474121094</v>
      </c>
      <c r="S277" s="148">
        <v>19.399999618530298</v>
      </c>
      <c r="T277" s="120">
        <v>65</v>
      </c>
      <c r="U277" s="120">
        <v>16</v>
      </c>
      <c r="V277" s="120">
        <v>-9999</v>
      </c>
      <c r="W277" s="120">
        <v>-9999</v>
      </c>
      <c r="X277" s="120">
        <v>-9999</v>
      </c>
      <c r="Y277" s="120">
        <v>-9999</v>
      </c>
      <c r="Z277" s="120">
        <v>-9999</v>
      </c>
      <c r="AA277" s="120">
        <v>68</v>
      </c>
      <c r="AB277" s="120">
        <v>14.5</v>
      </c>
      <c r="AC277" s="120">
        <v>276</v>
      </c>
      <c r="AD277" s="120">
        <v>1548</v>
      </c>
      <c r="AE277" s="120">
        <v>-9999</v>
      </c>
      <c r="AF277" s="120">
        <v>-9999</v>
      </c>
      <c r="AG277" s="120">
        <v>-9999</v>
      </c>
      <c r="AQ277" s="63">
        <v>6</v>
      </c>
      <c r="AR277" s="63">
        <v>125</v>
      </c>
      <c r="AS277" s="63">
        <v>150</v>
      </c>
      <c r="AT277" s="63" t="e">
        <f>AVERAGEIFS(Compressors!$S:$S,Compressors!$G:$G,AS277,Compressors!$I:$I,AR277,Compressors!$D:$D,AQ277)</f>
        <v>#DIV/0!</v>
      </c>
      <c r="AU277" s="53"/>
      <c r="BB277" s="121">
        <v>250</v>
      </c>
      <c r="BC277" s="121">
        <v>17.700000762939499</v>
      </c>
      <c r="BD277" s="125">
        <v>110</v>
      </c>
      <c r="BE277" s="121"/>
      <c r="BF277" s="121"/>
      <c r="BG277" s="121"/>
      <c r="BH277" s="121"/>
      <c r="BI277" s="121"/>
      <c r="BJ277" s="121"/>
      <c r="BK277" s="121"/>
      <c r="BL277" s="121"/>
      <c r="BM277" s="121"/>
    </row>
    <row r="278" spans="1:65" x14ac:dyDescent="0.25">
      <c r="A278" s="120">
        <v>277</v>
      </c>
      <c r="B278" s="120" t="b">
        <v>0</v>
      </c>
      <c r="C278" s="120">
        <v>0</v>
      </c>
      <c r="D278" s="61">
        <v>1</v>
      </c>
      <c r="E278" s="120">
        <v>1</v>
      </c>
      <c r="F278" s="120" t="s">
        <v>175</v>
      </c>
      <c r="G278" s="55">
        <v>75</v>
      </c>
      <c r="H278" s="120">
        <v>346</v>
      </c>
      <c r="I278" s="57">
        <v>115</v>
      </c>
      <c r="J278" s="120">
        <v>115</v>
      </c>
      <c r="K278" s="120">
        <v>2</v>
      </c>
      <c r="L278" s="120">
        <v>50</v>
      </c>
      <c r="M278" s="120">
        <v>15</v>
      </c>
      <c r="N278" s="120">
        <v>40</v>
      </c>
      <c r="O278" s="120">
        <v>2</v>
      </c>
      <c r="P278" s="120">
        <v>20</v>
      </c>
      <c r="Q278" s="120">
        <v>82.5</v>
      </c>
      <c r="R278" s="120">
        <v>67.099998474121094</v>
      </c>
      <c r="S278" s="148">
        <v>19.399999618530298</v>
      </c>
      <c r="T278" s="120">
        <v>65</v>
      </c>
      <c r="U278" s="120">
        <v>16</v>
      </c>
      <c r="V278" s="120">
        <v>-9999</v>
      </c>
      <c r="W278" s="120">
        <v>-9999</v>
      </c>
      <c r="X278" s="120">
        <v>-9999</v>
      </c>
      <c r="Y278" s="120">
        <v>-9999</v>
      </c>
      <c r="Z278" s="120">
        <v>-9999</v>
      </c>
      <c r="AA278" s="120">
        <v>68</v>
      </c>
      <c r="AB278" s="120">
        <v>14.5</v>
      </c>
      <c r="AC278" s="120">
        <v>277</v>
      </c>
      <c r="AD278" s="120">
        <v>1549</v>
      </c>
      <c r="AE278" s="120">
        <v>-9999</v>
      </c>
      <c r="AF278" s="120">
        <v>-9999</v>
      </c>
      <c r="AG278" s="120">
        <v>-9999</v>
      </c>
      <c r="AQ278" s="53">
        <v>1</v>
      </c>
      <c r="AR278" s="53">
        <v>100</v>
      </c>
      <c r="AS278" s="53">
        <v>200</v>
      </c>
      <c r="AT278" s="53">
        <f>AVERAGEIFS(Compressors!$S:$S,Compressors!$G:$G,AS278,Compressors!$I:$I,AR278,Compressors!$D:$D,AQ278)</f>
        <v>17.299999237060501</v>
      </c>
      <c r="AU278" s="53">
        <v>17.3</v>
      </c>
      <c r="BB278" s="121">
        <v>250</v>
      </c>
      <c r="BC278" s="121">
        <v>19.200000762939499</v>
      </c>
      <c r="BD278" s="125">
        <v>115</v>
      </c>
      <c r="BE278" s="121"/>
      <c r="BF278" s="121"/>
      <c r="BG278" s="121"/>
      <c r="BH278" s="121"/>
      <c r="BI278" s="121"/>
      <c r="BJ278" s="121"/>
      <c r="BK278" s="121"/>
      <c r="BL278" s="121"/>
      <c r="BM278" s="121"/>
    </row>
    <row r="279" spans="1:65" x14ac:dyDescent="0.25">
      <c r="A279" s="120">
        <v>278</v>
      </c>
      <c r="B279" s="120" t="b">
        <v>0</v>
      </c>
      <c r="C279" s="120">
        <v>0</v>
      </c>
      <c r="D279" s="61">
        <v>1</v>
      </c>
      <c r="E279" s="120">
        <v>1</v>
      </c>
      <c r="F279" s="120" t="s">
        <v>175</v>
      </c>
      <c r="G279" s="55">
        <v>75</v>
      </c>
      <c r="H279" s="120">
        <v>346</v>
      </c>
      <c r="I279" s="57">
        <v>115</v>
      </c>
      <c r="J279" s="120">
        <v>115</v>
      </c>
      <c r="K279" s="120">
        <v>3</v>
      </c>
      <c r="L279" s="120">
        <v>40</v>
      </c>
      <c r="M279" s="120">
        <v>15</v>
      </c>
      <c r="N279" s="120">
        <v>40</v>
      </c>
      <c r="O279" s="120">
        <v>2</v>
      </c>
      <c r="P279" s="120">
        <v>16.666999816894499</v>
      </c>
      <c r="Q279" s="120">
        <v>82.5</v>
      </c>
      <c r="R279" s="120">
        <v>67.099998474121094</v>
      </c>
      <c r="S279" s="148">
        <v>19.399999618530298</v>
      </c>
      <c r="T279" s="120">
        <v>57</v>
      </c>
      <c r="U279" s="120">
        <v>16</v>
      </c>
      <c r="V279" s="120">
        <v>-9999</v>
      </c>
      <c r="W279" s="120">
        <v>-9999</v>
      </c>
      <c r="X279" s="120">
        <v>-9999</v>
      </c>
      <c r="Y279" s="120">
        <v>-9999</v>
      </c>
      <c r="Z279" s="120">
        <v>-9999</v>
      </c>
      <c r="AA279" s="120">
        <v>68</v>
      </c>
      <c r="AB279" s="120">
        <v>14.5</v>
      </c>
      <c r="AC279" s="120">
        <v>278</v>
      </c>
      <c r="AD279" s="120">
        <v>1550</v>
      </c>
      <c r="AE279" s="120">
        <v>-9999</v>
      </c>
      <c r="AF279" s="120">
        <v>-9999</v>
      </c>
      <c r="AG279" s="120">
        <v>-9999</v>
      </c>
      <c r="AQ279" s="53">
        <v>1</v>
      </c>
      <c r="AR279" s="53">
        <v>110</v>
      </c>
      <c r="AS279" s="53">
        <v>200</v>
      </c>
      <c r="AT279" s="53">
        <f>AVERAGEIFS(Compressors!$S:$S,Compressors!$G:$G,AS279,Compressors!$I:$I,AR279,Compressors!$D:$D,AQ279)</f>
        <v>17.700000762939499</v>
      </c>
      <c r="AU279" s="53">
        <v>17.7</v>
      </c>
      <c r="BB279" s="121">
        <v>250</v>
      </c>
      <c r="BC279" s="121">
        <v>19.200000762939499</v>
      </c>
      <c r="BD279" s="125">
        <v>115</v>
      </c>
      <c r="BE279" s="121"/>
      <c r="BF279" s="121"/>
      <c r="BG279" s="121"/>
      <c r="BH279" s="121"/>
      <c r="BI279" s="121"/>
      <c r="BJ279" s="121"/>
      <c r="BK279" s="121"/>
      <c r="BL279" s="121"/>
      <c r="BM279" s="121"/>
    </row>
    <row r="280" spans="1:65" x14ac:dyDescent="0.25">
      <c r="A280" s="120">
        <v>279</v>
      </c>
      <c r="B280" s="120" t="b">
        <v>0</v>
      </c>
      <c r="C280" s="120">
        <v>0</v>
      </c>
      <c r="D280" s="61">
        <v>1</v>
      </c>
      <c r="E280" s="120">
        <v>1</v>
      </c>
      <c r="F280" s="120" t="s">
        <v>175</v>
      </c>
      <c r="G280" s="55">
        <v>75</v>
      </c>
      <c r="H280" s="120">
        <v>331</v>
      </c>
      <c r="I280" s="57">
        <v>115</v>
      </c>
      <c r="J280" s="120">
        <v>125</v>
      </c>
      <c r="K280" s="120">
        <v>4</v>
      </c>
      <c r="L280" s="120">
        <v>100</v>
      </c>
      <c r="M280" s="120">
        <v>15</v>
      </c>
      <c r="N280" s="120">
        <v>40</v>
      </c>
      <c r="O280" s="120">
        <v>2</v>
      </c>
      <c r="P280" s="120">
        <v>-9999</v>
      </c>
      <c r="Q280" s="120">
        <v>78.800003051757798</v>
      </c>
      <c r="R280" s="120">
        <v>64.099998474121094</v>
      </c>
      <c r="S280" s="148">
        <v>19.399999618530298</v>
      </c>
      <c r="T280" s="120">
        <v>-9999</v>
      </c>
      <c r="U280" s="120">
        <v>16</v>
      </c>
      <c r="V280" s="120">
        <v>-9999</v>
      </c>
      <c r="W280" s="120">
        <v>-9999</v>
      </c>
      <c r="X280" s="120">
        <v>-9999</v>
      </c>
      <c r="Y280" s="120">
        <v>-9999</v>
      </c>
      <c r="Z280" s="120">
        <v>-9999</v>
      </c>
      <c r="AA280" s="120">
        <v>68</v>
      </c>
      <c r="AB280" s="120">
        <v>14.5</v>
      </c>
      <c r="AC280" s="120">
        <v>279</v>
      </c>
      <c r="AD280" s="120">
        <v>1551</v>
      </c>
      <c r="AE280" s="120">
        <v>-9999</v>
      </c>
      <c r="AF280" s="120">
        <v>-9999</v>
      </c>
      <c r="AG280" s="120">
        <v>-9999</v>
      </c>
      <c r="AQ280" s="53">
        <v>1</v>
      </c>
      <c r="AR280" s="53">
        <v>115</v>
      </c>
      <c r="AS280" s="53">
        <v>200</v>
      </c>
      <c r="AT280" s="53">
        <f>AVERAGEIFS(Compressors!$S:$S,Compressors!$G:$G,AS280,Compressors!$I:$I,AR280,Compressors!$D:$D,AQ280)</f>
        <v>18.700000762939499</v>
      </c>
      <c r="AU280" s="53">
        <v>18.7</v>
      </c>
      <c r="BB280" s="121">
        <v>250</v>
      </c>
      <c r="BC280" s="121">
        <v>19.200000762939499</v>
      </c>
      <c r="BD280" s="125">
        <v>115</v>
      </c>
      <c r="BE280" s="121"/>
      <c r="BF280" s="121"/>
      <c r="BG280" s="121"/>
      <c r="BH280" s="121"/>
      <c r="BI280" s="121"/>
      <c r="BJ280" s="121"/>
      <c r="BK280" s="121"/>
      <c r="BL280" s="121"/>
      <c r="BM280" s="121"/>
    </row>
    <row r="281" spans="1:65" x14ac:dyDescent="0.25">
      <c r="A281" s="120">
        <v>280</v>
      </c>
      <c r="B281" s="120" t="b">
        <v>0</v>
      </c>
      <c r="C281" s="120">
        <v>0</v>
      </c>
      <c r="D281" s="61">
        <v>1</v>
      </c>
      <c r="E281" s="120">
        <v>1</v>
      </c>
      <c r="F281" s="120" t="s">
        <v>175</v>
      </c>
      <c r="G281" s="55">
        <v>75</v>
      </c>
      <c r="H281" s="120">
        <v>331</v>
      </c>
      <c r="I281" s="57">
        <v>115</v>
      </c>
      <c r="J281" s="120">
        <v>125</v>
      </c>
      <c r="K281" s="120">
        <v>11</v>
      </c>
      <c r="L281" s="120">
        <v>60</v>
      </c>
      <c r="M281" s="120">
        <v>15</v>
      </c>
      <c r="N281" s="120">
        <v>40</v>
      </c>
      <c r="O281" s="120">
        <v>2</v>
      </c>
      <c r="P281" s="120">
        <v>25</v>
      </c>
      <c r="Q281" s="120">
        <v>78.800003051757798</v>
      </c>
      <c r="R281" s="120">
        <v>64.099998474121094</v>
      </c>
      <c r="S281" s="148">
        <v>19.399999618530298</v>
      </c>
      <c r="T281" s="120">
        <v>70</v>
      </c>
      <c r="U281" s="120">
        <v>16</v>
      </c>
      <c r="V281" s="120">
        <v>-9999</v>
      </c>
      <c r="W281" s="120">
        <v>-9999</v>
      </c>
      <c r="X281" s="120">
        <v>-9999</v>
      </c>
      <c r="Y281" s="120">
        <v>-9999</v>
      </c>
      <c r="Z281" s="120">
        <v>-9999</v>
      </c>
      <c r="AA281" s="120">
        <v>68</v>
      </c>
      <c r="AB281" s="120">
        <v>14.5</v>
      </c>
      <c r="AC281" s="120">
        <v>280</v>
      </c>
      <c r="AD281" s="120">
        <v>1552</v>
      </c>
      <c r="AE281" s="120">
        <v>-9999</v>
      </c>
      <c r="AF281" s="120">
        <v>-9999</v>
      </c>
      <c r="AG281" s="120">
        <v>-9999</v>
      </c>
      <c r="AQ281" s="53">
        <v>1</v>
      </c>
      <c r="AR281" s="53">
        <v>125</v>
      </c>
      <c r="AS281" s="53">
        <v>200</v>
      </c>
      <c r="AT281" s="53">
        <f>AVERAGEIFS(Compressors!$S:$S,Compressors!$G:$G,AS281,Compressors!$I:$I,AR281,Compressors!$D:$D,AQ281)</f>
        <v>19.5</v>
      </c>
      <c r="AU281" s="53">
        <v>19.5</v>
      </c>
      <c r="BB281" s="121">
        <v>250</v>
      </c>
      <c r="BC281" s="121">
        <v>19.200000762939499</v>
      </c>
      <c r="BD281" s="125">
        <v>115</v>
      </c>
      <c r="BE281" s="121"/>
      <c r="BF281" s="121"/>
      <c r="BG281" s="121"/>
      <c r="BH281" s="121"/>
      <c r="BI281" s="121"/>
      <c r="BJ281" s="121"/>
      <c r="BK281" s="121"/>
      <c r="BL281" s="121"/>
      <c r="BM281" s="121"/>
    </row>
    <row r="282" spans="1:65" x14ac:dyDescent="0.25">
      <c r="A282" s="120">
        <v>281</v>
      </c>
      <c r="B282" s="120" t="b">
        <v>0</v>
      </c>
      <c r="C282" s="120">
        <v>0</v>
      </c>
      <c r="D282" s="61">
        <v>1</v>
      </c>
      <c r="E282" s="120">
        <v>1</v>
      </c>
      <c r="F282" s="120" t="s">
        <v>175</v>
      </c>
      <c r="G282" s="55">
        <v>75</v>
      </c>
      <c r="H282" s="120">
        <v>311</v>
      </c>
      <c r="I282" s="57">
        <v>125</v>
      </c>
      <c r="J282" s="120">
        <v>135</v>
      </c>
      <c r="K282" s="120">
        <v>1</v>
      </c>
      <c r="L282" s="120">
        <v>50</v>
      </c>
      <c r="M282" s="120">
        <v>15</v>
      </c>
      <c r="N282" s="120">
        <v>40</v>
      </c>
      <c r="O282" s="120">
        <v>2</v>
      </c>
      <c r="P282" s="120">
        <v>5</v>
      </c>
      <c r="Q282" s="120">
        <v>78.800003051757798</v>
      </c>
      <c r="R282" s="120">
        <v>64.099998474121094</v>
      </c>
      <c r="S282" s="148">
        <v>20.600000381469702</v>
      </c>
      <c r="T282" s="120">
        <v>65</v>
      </c>
      <c r="U282" s="120">
        <v>15</v>
      </c>
      <c r="V282" s="120">
        <v>-9999</v>
      </c>
      <c r="W282" s="120">
        <v>-9999</v>
      </c>
      <c r="X282" s="120">
        <v>-9999</v>
      </c>
      <c r="Y282" s="120">
        <v>-9999</v>
      </c>
      <c r="Z282" s="120">
        <v>-9999</v>
      </c>
      <c r="AA282" s="120">
        <v>68</v>
      </c>
      <c r="AB282" s="120">
        <v>14.5</v>
      </c>
      <c r="AC282" s="120">
        <v>281</v>
      </c>
      <c r="AD282" s="120">
        <v>1553</v>
      </c>
      <c r="AE282" s="120">
        <v>-9999</v>
      </c>
      <c r="AF282" s="120">
        <v>-9999</v>
      </c>
      <c r="AG282" s="120">
        <v>-9999</v>
      </c>
      <c r="AQ282" s="53">
        <v>2</v>
      </c>
      <c r="AR282" s="53">
        <v>100</v>
      </c>
      <c r="AS282" s="53">
        <v>200</v>
      </c>
      <c r="AT282" s="53">
        <f>AVERAGEIFS(Compressors!$S:$S,Compressors!$G:$G,AS282,Compressors!$I:$I,AR282,Compressors!$D:$D,AQ282)</f>
        <v>15.899999618530298</v>
      </c>
      <c r="AU282" s="53">
        <v>15.9</v>
      </c>
      <c r="AV282">
        <f>AT282/AT278</f>
        <v>0.91907516299011804</v>
      </c>
      <c r="BB282" s="121">
        <v>250</v>
      </c>
      <c r="BC282" s="121">
        <v>19.200000762939499</v>
      </c>
      <c r="BD282" s="125">
        <v>115</v>
      </c>
      <c r="BE282" s="121"/>
      <c r="BF282" s="121"/>
      <c r="BG282" s="121"/>
      <c r="BH282" s="121"/>
      <c r="BI282" s="121"/>
      <c r="BJ282" s="121"/>
      <c r="BK282" s="121"/>
      <c r="BL282" s="121"/>
      <c r="BM282" s="121"/>
    </row>
    <row r="283" spans="1:65" x14ac:dyDescent="0.25">
      <c r="A283" s="120">
        <v>282</v>
      </c>
      <c r="B283" s="120" t="b">
        <v>0</v>
      </c>
      <c r="C283" s="120">
        <v>0</v>
      </c>
      <c r="D283" s="61">
        <v>1</v>
      </c>
      <c r="E283" s="120">
        <v>1</v>
      </c>
      <c r="F283" s="120" t="s">
        <v>175</v>
      </c>
      <c r="G283" s="55">
        <v>75</v>
      </c>
      <c r="H283" s="120">
        <v>326</v>
      </c>
      <c r="I283" s="57">
        <v>125</v>
      </c>
      <c r="J283" s="120">
        <v>125</v>
      </c>
      <c r="K283" s="120">
        <v>2</v>
      </c>
      <c r="L283" s="120">
        <v>50</v>
      </c>
      <c r="M283" s="120">
        <v>15</v>
      </c>
      <c r="N283" s="120">
        <v>40</v>
      </c>
      <c r="O283" s="120">
        <v>2</v>
      </c>
      <c r="P283" s="120">
        <v>20</v>
      </c>
      <c r="Q283" s="120">
        <v>82.5</v>
      </c>
      <c r="R283" s="120">
        <v>67.099998474121094</v>
      </c>
      <c r="S283" s="148">
        <v>20.600000381469702</v>
      </c>
      <c r="T283" s="120">
        <v>65</v>
      </c>
      <c r="U283" s="120">
        <v>15</v>
      </c>
      <c r="V283" s="120">
        <v>-9999</v>
      </c>
      <c r="W283" s="120">
        <v>-9999</v>
      </c>
      <c r="X283" s="120">
        <v>-9999</v>
      </c>
      <c r="Y283" s="120">
        <v>-9999</v>
      </c>
      <c r="Z283" s="120">
        <v>-9999</v>
      </c>
      <c r="AA283" s="120">
        <v>68</v>
      </c>
      <c r="AB283" s="120">
        <v>14.5</v>
      </c>
      <c r="AC283" s="120">
        <v>282</v>
      </c>
      <c r="AD283" s="120">
        <v>1554</v>
      </c>
      <c r="AE283" s="120">
        <v>-9999</v>
      </c>
      <c r="AF283" s="120">
        <v>-9999</v>
      </c>
      <c r="AG283" s="120">
        <v>-9999</v>
      </c>
      <c r="AQ283" s="53">
        <v>2</v>
      </c>
      <c r="AR283" s="53">
        <v>110</v>
      </c>
      <c r="AS283" s="53">
        <v>200</v>
      </c>
      <c r="AT283" s="53" t="e">
        <f>AVERAGEIFS(Compressors!$S:$S,Compressors!$G:$G,AS283,Compressors!$I:$I,AR283,Compressors!$D:$D,AQ283)</f>
        <v>#DIV/0!</v>
      </c>
      <c r="AU283">
        <f>AU279*0.9</f>
        <v>15.93</v>
      </c>
      <c r="AV283" t="e">
        <f>AT283/AT279</f>
        <v>#DIV/0!</v>
      </c>
      <c r="BB283" s="121">
        <v>250</v>
      </c>
      <c r="BC283" s="121">
        <v>19.5</v>
      </c>
      <c r="BD283" s="125">
        <v>125</v>
      </c>
      <c r="BE283" s="121"/>
      <c r="BF283" s="121"/>
      <c r="BG283" s="121"/>
      <c r="BH283" s="121"/>
      <c r="BI283" s="121"/>
      <c r="BJ283" s="121"/>
      <c r="BK283" s="121"/>
      <c r="BL283" s="121"/>
      <c r="BM283" s="121"/>
    </row>
    <row r="284" spans="1:65" x14ac:dyDescent="0.25">
      <c r="A284" s="120">
        <v>283</v>
      </c>
      <c r="B284" s="120" t="b">
        <v>0</v>
      </c>
      <c r="C284" s="120">
        <v>0</v>
      </c>
      <c r="D284" s="61">
        <v>1</v>
      </c>
      <c r="E284" s="120">
        <v>1</v>
      </c>
      <c r="F284" s="120" t="s">
        <v>175</v>
      </c>
      <c r="G284" s="55">
        <v>75</v>
      </c>
      <c r="H284" s="120">
        <v>326</v>
      </c>
      <c r="I284" s="57">
        <v>125</v>
      </c>
      <c r="J284" s="120">
        <v>125</v>
      </c>
      <c r="K284" s="120">
        <v>3</v>
      </c>
      <c r="L284" s="120">
        <v>40</v>
      </c>
      <c r="M284" s="120">
        <v>15</v>
      </c>
      <c r="N284" s="120">
        <v>40</v>
      </c>
      <c r="O284" s="120">
        <v>2</v>
      </c>
      <c r="P284" s="120">
        <v>16.666999816894499</v>
      </c>
      <c r="Q284" s="120">
        <v>82.5</v>
      </c>
      <c r="R284" s="120">
        <v>67.099998474121094</v>
      </c>
      <c r="S284" s="148">
        <v>20.600000381469702</v>
      </c>
      <c r="T284" s="120">
        <v>57</v>
      </c>
      <c r="U284" s="120">
        <v>15</v>
      </c>
      <c r="V284" s="120">
        <v>-9999</v>
      </c>
      <c r="W284" s="120">
        <v>-9999</v>
      </c>
      <c r="X284" s="120">
        <v>-9999</v>
      </c>
      <c r="Y284" s="120">
        <v>-9999</v>
      </c>
      <c r="Z284" s="120">
        <v>-9999</v>
      </c>
      <c r="AA284" s="120">
        <v>68</v>
      </c>
      <c r="AB284" s="120">
        <v>14.5</v>
      </c>
      <c r="AC284" s="120">
        <v>283</v>
      </c>
      <c r="AD284" s="120">
        <v>1555</v>
      </c>
      <c r="AE284" s="120">
        <v>-9999</v>
      </c>
      <c r="AF284" s="120">
        <v>-9999</v>
      </c>
      <c r="AG284" s="120">
        <v>-9999</v>
      </c>
      <c r="AQ284" s="53">
        <v>2</v>
      </c>
      <c r="AR284" s="53">
        <v>115</v>
      </c>
      <c r="AS284" s="53">
        <v>200</v>
      </c>
      <c r="AT284" s="53">
        <f>AVERAGEIFS(Compressors!$S:$S,Compressors!$G:$G,AS284,Compressors!$I:$I,AR284,Compressors!$D:$D,AQ284)</f>
        <v>17.600000381469702</v>
      </c>
      <c r="AU284" s="53">
        <v>17.600000000000001</v>
      </c>
      <c r="AV284">
        <f>AT284/AT280</f>
        <v>0.94117645258871707</v>
      </c>
      <c r="BB284" s="121">
        <v>250</v>
      </c>
      <c r="BC284" s="121">
        <v>19.5</v>
      </c>
      <c r="BD284" s="125">
        <v>125</v>
      </c>
      <c r="BE284" s="121"/>
      <c r="BF284" s="121"/>
      <c r="BG284" s="121"/>
      <c r="BH284" s="121"/>
      <c r="BI284" s="121"/>
      <c r="BJ284" s="121"/>
      <c r="BK284" s="121"/>
      <c r="BL284" s="121"/>
      <c r="BM284" s="121"/>
    </row>
    <row r="285" spans="1:65" x14ac:dyDescent="0.25">
      <c r="A285" s="120">
        <v>284</v>
      </c>
      <c r="B285" s="120" t="b">
        <v>0</v>
      </c>
      <c r="C285" s="120">
        <v>0</v>
      </c>
      <c r="D285" s="61">
        <v>1</v>
      </c>
      <c r="E285" s="120">
        <v>1</v>
      </c>
      <c r="F285" s="120" t="s">
        <v>175</v>
      </c>
      <c r="G285" s="55">
        <v>75</v>
      </c>
      <c r="H285" s="120">
        <v>311</v>
      </c>
      <c r="I285" s="57">
        <v>125</v>
      </c>
      <c r="J285" s="120">
        <v>135</v>
      </c>
      <c r="K285" s="120">
        <v>4</v>
      </c>
      <c r="L285" s="120">
        <v>100</v>
      </c>
      <c r="M285" s="120">
        <v>15</v>
      </c>
      <c r="N285" s="120">
        <v>40</v>
      </c>
      <c r="O285" s="120">
        <v>2</v>
      </c>
      <c r="P285" s="120">
        <v>-9999</v>
      </c>
      <c r="Q285" s="120">
        <v>78.800003051757798</v>
      </c>
      <c r="R285" s="120">
        <v>64.099998474121094</v>
      </c>
      <c r="S285" s="148">
        <v>20.600000381469702</v>
      </c>
      <c r="T285" s="120">
        <v>-9999</v>
      </c>
      <c r="U285" s="120">
        <v>15</v>
      </c>
      <c r="V285" s="120">
        <v>-9999</v>
      </c>
      <c r="W285" s="120">
        <v>-9999</v>
      </c>
      <c r="X285" s="120">
        <v>-9999</v>
      </c>
      <c r="Y285" s="120">
        <v>-9999</v>
      </c>
      <c r="Z285" s="120">
        <v>-9999</v>
      </c>
      <c r="AA285" s="120">
        <v>68</v>
      </c>
      <c r="AB285" s="120">
        <v>14.5</v>
      </c>
      <c r="AC285" s="120">
        <v>284</v>
      </c>
      <c r="AD285" s="120">
        <v>1556</v>
      </c>
      <c r="AE285" s="120">
        <v>-9999</v>
      </c>
      <c r="AF285" s="120">
        <v>-9999</v>
      </c>
      <c r="AG285" s="120">
        <v>-9999</v>
      </c>
      <c r="AQ285" s="53">
        <v>2</v>
      </c>
      <c r="AR285" s="53">
        <v>125</v>
      </c>
      <c r="AS285" s="53">
        <v>200</v>
      </c>
      <c r="AT285" s="53">
        <f>AVERAGEIFS(Compressors!$S:$S,Compressors!$G:$G,AS285,Compressors!$I:$I,AR285,Compressors!$D:$D,AQ285)</f>
        <v>17.600000381469702</v>
      </c>
      <c r="AU285" s="53">
        <v>17.600000000000001</v>
      </c>
      <c r="AV285">
        <f>AT285/AT281</f>
        <v>0.90256412212665138</v>
      </c>
      <c r="BB285" s="121">
        <v>250</v>
      </c>
      <c r="BC285" s="121">
        <v>19.5</v>
      </c>
      <c r="BD285" s="125">
        <v>125</v>
      </c>
      <c r="BE285" s="121"/>
      <c r="BF285" s="121"/>
      <c r="BG285" s="121"/>
      <c r="BH285" s="121"/>
      <c r="BI285" s="121"/>
      <c r="BJ285" s="121"/>
      <c r="BK285" s="121"/>
      <c r="BL285" s="121"/>
      <c r="BM285" s="121"/>
    </row>
    <row r="286" spans="1:65" x14ac:dyDescent="0.25">
      <c r="A286" s="120">
        <v>285</v>
      </c>
      <c r="B286" s="120" t="b">
        <v>0</v>
      </c>
      <c r="C286" s="120">
        <v>0</v>
      </c>
      <c r="D286" s="61">
        <v>1</v>
      </c>
      <c r="E286" s="120">
        <v>1</v>
      </c>
      <c r="F286" s="120" t="s">
        <v>175</v>
      </c>
      <c r="G286" s="55">
        <v>75</v>
      </c>
      <c r="H286" s="120">
        <v>311</v>
      </c>
      <c r="I286" s="57">
        <v>125</v>
      </c>
      <c r="J286" s="120">
        <v>135</v>
      </c>
      <c r="K286" s="120">
        <v>11</v>
      </c>
      <c r="L286" s="120">
        <v>60</v>
      </c>
      <c r="M286" s="120">
        <v>15</v>
      </c>
      <c r="N286" s="120">
        <v>40</v>
      </c>
      <c r="O286" s="120">
        <v>2</v>
      </c>
      <c r="P286" s="120">
        <v>25</v>
      </c>
      <c r="Q286" s="120">
        <v>78.800003051757798</v>
      </c>
      <c r="R286" s="120">
        <v>64.099998474121094</v>
      </c>
      <c r="S286" s="148">
        <v>20.600000381469702</v>
      </c>
      <c r="T286" s="120">
        <v>70</v>
      </c>
      <c r="U286" s="120">
        <v>15</v>
      </c>
      <c r="V286" s="120">
        <v>-9999</v>
      </c>
      <c r="W286" s="120">
        <v>-9999</v>
      </c>
      <c r="X286" s="120">
        <v>-9999</v>
      </c>
      <c r="Y286" s="120">
        <v>-9999</v>
      </c>
      <c r="Z286" s="120">
        <v>-9999</v>
      </c>
      <c r="AA286" s="120">
        <v>68</v>
      </c>
      <c r="AB286" s="120">
        <v>14.5</v>
      </c>
      <c r="AC286" s="120">
        <v>285</v>
      </c>
      <c r="AD286" s="120">
        <v>1557</v>
      </c>
      <c r="AE286" s="120">
        <v>-9999</v>
      </c>
      <c r="AF286" s="120">
        <v>-9999</v>
      </c>
      <c r="AG286" s="120">
        <v>-9999</v>
      </c>
      <c r="AQ286" s="53">
        <v>4</v>
      </c>
      <c r="AR286" s="53">
        <v>100</v>
      </c>
      <c r="AS286" s="53">
        <v>200</v>
      </c>
      <c r="AT286" s="53" t="e">
        <f>AVERAGEIFS(Compressors!$S:$S,Compressors!$G:$G,AS286,Compressors!$I:$I,AR286,Compressors!$D:$D,AQ286)</f>
        <v>#DIV/0!</v>
      </c>
      <c r="AU286">
        <f>AU278*$BE$209</f>
        <v>0</v>
      </c>
      <c r="BB286" s="121">
        <v>250</v>
      </c>
      <c r="BC286" s="121">
        <v>19.5</v>
      </c>
      <c r="BD286" s="125">
        <v>125</v>
      </c>
      <c r="BE286" s="121"/>
      <c r="BF286" s="121"/>
      <c r="BG286" s="121"/>
      <c r="BH286" s="121"/>
      <c r="BI286" s="121"/>
      <c r="BJ286" s="121"/>
      <c r="BK286" s="121"/>
      <c r="BL286" s="121"/>
      <c r="BM286" s="121"/>
    </row>
    <row r="287" spans="1:65" x14ac:dyDescent="0.25">
      <c r="A287" s="120">
        <v>286</v>
      </c>
      <c r="B287" s="120" t="b">
        <v>0</v>
      </c>
      <c r="C287" s="120">
        <v>0</v>
      </c>
      <c r="D287" s="61">
        <v>1</v>
      </c>
      <c r="E287" s="120">
        <v>1</v>
      </c>
      <c r="F287" s="120" t="s">
        <v>175</v>
      </c>
      <c r="G287" s="55">
        <v>75</v>
      </c>
      <c r="H287" s="120">
        <v>288</v>
      </c>
      <c r="I287" s="57">
        <v>140</v>
      </c>
      <c r="J287" s="120">
        <v>150</v>
      </c>
      <c r="K287" s="120">
        <v>1</v>
      </c>
      <c r="L287" s="120">
        <v>50</v>
      </c>
      <c r="M287" s="120">
        <v>15</v>
      </c>
      <c r="N287" s="120">
        <v>40</v>
      </c>
      <c r="O287" s="120">
        <v>2</v>
      </c>
      <c r="P287" s="120">
        <v>5</v>
      </c>
      <c r="Q287" s="120">
        <v>78.800003051757798</v>
      </c>
      <c r="R287" s="120">
        <v>64.099998474121094</v>
      </c>
      <c r="S287" s="148">
        <v>22.200000762939499</v>
      </c>
      <c r="T287" s="120">
        <v>65</v>
      </c>
      <c r="U287" s="120">
        <v>15</v>
      </c>
      <c r="V287" s="120">
        <v>-9999</v>
      </c>
      <c r="W287" s="120">
        <v>-9999</v>
      </c>
      <c r="X287" s="120">
        <v>-9999</v>
      </c>
      <c r="Y287" s="120">
        <v>-9999</v>
      </c>
      <c r="Z287" s="120">
        <v>-9999</v>
      </c>
      <c r="AA287" s="120">
        <v>68</v>
      </c>
      <c r="AB287" s="120">
        <v>14.5</v>
      </c>
      <c r="AC287" s="120">
        <v>286</v>
      </c>
      <c r="AD287" s="120">
        <v>1558</v>
      </c>
      <c r="AE287" s="120">
        <v>-9999</v>
      </c>
      <c r="AF287" s="120">
        <v>-9999</v>
      </c>
      <c r="AG287" s="120">
        <v>-9999</v>
      </c>
      <c r="AQ287" s="53">
        <v>4</v>
      </c>
      <c r="AR287" s="53">
        <v>110</v>
      </c>
      <c r="AS287" s="53">
        <v>200</v>
      </c>
      <c r="AT287" s="53" t="e">
        <f>AVERAGEIFS(Compressors!$S:$S,Compressors!$G:$G,AS287,Compressors!$I:$I,AR287,Compressors!$D:$D,AQ287)</f>
        <v>#DIV/0!</v>
      </c>
      <c r="AU287" s="120">
        <f>AU279*$BE$209</f>
        <v>0</v>
      </c>
      <c r="BB287" s="121">
        <v>250</v>
      </c>
      <c r="BC287" s="121">
        <v>19.5</v>
      </c>
      <c r="BD287" s="125">
        <v>125</v>
      </c>
      <c r="BE287" s="121"/>
      <c r="BF287" s="121"/>
      <c r="BG287" s="121"/>
      <c r="BH287" s="121"/>
      <c r="BI287" s="121"/>
      <c r="BJ287" s="121"/>
      <c r="BK287" s="121"/>
      <c r="BL287" s="121"/>
      <c r="BM287" s="121"/>
    </row>
    <row r="288" spans="1:65" x14ac:dyDescent="0.25">
      <c r="A288" s="120">
        <v>287</v>
      </c>
      <c r="B288" s="120" t="b">
        <v>0</v>
      </c>
      <c r="C288" s="120">
        <v>0</v>
      </c>
      <c r="D288" s="61">
        <v>1</v>
      </c>
      <c r="E288" s="120">
        <v>1</v>
      </c>
      <c r="F288" s="120" t="s">
        <v>175</v>
      </c>
      <c r="G288" s="55">
        <v>75</v>
      </c>
      <c r="H288" s="120">
        <v>302</v>
      </c>
      <c r="I288" s="57">
        <v>140</v>
      </c>
      <c r="J288" s="120">
        <v>140</v>
      </c>
      <c r="K288" s="120">
        <v>2</v>
      </c>
      <c r="L288" s="120">
        <v>50</v>
      </c>
      <c r="M288" s="120">
        <v>15</v>
      </c>
      <c r="N288" s="120">
        <v>40</v>
      </c>
      <c r="O288" s="120">
        <v>2</v>
      </c>
      <c r="P288" s="120">
        <v>20</v>
      </c>
      <c r="Q288" s="120">
        <v>82.5</v>
      </c>
      <c r="R288" s="120">
        <v>67.099998474121094</v>
      </c>
      <c r="S288" s="148">
        <v>22.200000762939499</v>
      </c>
      <c r="T288" s="120">
        <v>65</v>
      </c>
      <c r="U288" s="120">
        <v>15</v>
      </c>
      <c r="V288" s="120">
        <v>-9999</v>
      </c>
      <c r="W288" s="120">
        <v>-9999</v>
      </c>
      <c r="X288" s="120">
        <v>-9999</v>
      </c>
      <c r="Y288" s="120">
        <v>-9999</v>
      </c>
      <c r="Z288" s="120">
        <v>-9999</v>
      </c>
      <c r="AA288" s="120">
        <v>68</v>
      </c>
      <c r="AB288" s="120">
        <v>14.5</v>
      </c>
      <c r="AC288" s="120">
        <v>287</v>
      </c>
      <c r="AD288" s="120">
        <v>1559</v>
      </c>
      <c r="AE288" s="120">
        <v>-9999</v>
      </c>
      <c r="AF288" s="120">
        <v>-9999</v>
      </c>
      <c r="AG288" s="120">
        <v>-9999</v>
      </c>
      <c r="AQ288" s="53">
        <v>4</v>
      </c>
      <c r="AR288" s="53">
        <v>115</v>
      </c>
      <c r="AS288" s="53">
        <v>200</v>
      </c>
      <c r="AT288" s="53" t="e">
        <f>AVERAGEIFS(Compressors!$S:$S,Compressors!$G:$G,AS288,Compressors!$I:$I,AR288,Compressors!$D:$D,AQ288)</f>
        <v>#DIV/0!</v>
      </c>
      <c r="AU288" s="120">
        <f>AU280*$BE$209</f>
        <v>0</v>
      </c>
    </row>
    <row r="289" spans="1:48" x14ac:dyDescent="0.25">
      <c r="A289" s="120">
        <v>288</v>
      </c>
      <c r="B289" s="120" t="b">
        <v>0</v>
      </c>
      <c r="C289" s="120">
        <v>0</v>
      </c>
      <c r="D289" s="61">
        <v>1</v>
      </c>
      <c r="E289" s="120">
        <v>1</v>
      </c>
      <c r="F289" s="120" t="s">
        <v>175</v>
      </c>
      <c r="G289" s="55">
        <v>75</v>
      </c>
      <c r="H289" s="120">
        <v>302</v>
      </c>
      <c r="I289" s="57">
        <v>140</v>
      </c>
      <c r="J289" s="120">
        <v>140</v>
      </c>
      <c r="K289" s="120">
        <v>3</v>
      </c>
      <c r="L289" s="120">
        <v>40</v>
      </c>
      <c r="M289" s="120">
        <v>15</v>
      </c>
      <c r="N289" s="120">
        <v>40</v>
      </c>
      <c r="O289" s="120">
        <v>2</v>
      </c>
      <c r="P289" s="120">
        <v>16.666999816894499</v>
      </c>
      <c r="Q289" s="120">
        <v>82.5</v>
      </c>
      <c r="R289" s="120">
        <v>67.099998474121094</v>
      </c>
      <c r="S289" s="148">
        <v>22.200000762939499</v>
      </c>
      <c r="T289" s="120">
        <v>57</v>
      </c>
      <c r="U289" s="120">
        <v>15</v>
      </c>
      <c r="V289" s="120">
        <v>-9999</v>
      </c>
      <c r="W289" s="120">
        <v>-9999</v>
      </c>
      <c r="X289" s="120">
        <v>-9999</v>
      </c>
      <c r="Y289" s="120">
        <v>-9999</v>
      </c>
      <c r="Z289" s="120">
        <v>-9999</v>
      </c>
      <c r="AA289" s="120">
        <v>68</v>
      </c>
      <c r="AB289" s="120">
        <v>14.5</v>
      </c>
      <c r="AC289" s="120">
        <v>288</v>
      </c>
      <c r="AD289" s="120">
        <v>1560</v>
      </c>
      <c r="AE289" s="120">
        <v>-9999</v>
      </c>
      <c r="AF289" s="120">
        <v>-9999</v>
      </c>
      <c r="AG289" s="120">
        <v>-9999</v>
      </c>
      <c r="AQ289" s="53">
        <v>4</v>
      </c>
      <c r="AR289" s="53">
        <v>125</v>
      </c>
      <c r="AS289" s="53">
        <v>200</v>
      </c>
      <c r="AT289" s="53" t="e">
        <f>AVERAGEIFS(Compressors!$S:$S,Compressors!$G:$G,AS289,Compressors!$I:$I,AR289,Compressors!$D:$D,AQ289)</f>
        <v>#DIV/0!</v>
      </c>
      <c r="AU289" s="120">
        <f>AU281*$BE$209</f>
        <v>0</v>
      </c>
    </row>
    <row r="290" spans="1:48" x14ac:dyDescent="0.25">
      <c r="A290" s="120">
        <v>289</v>
      </c>
      <c r="B290" s="120" t="b">
        <v>0</v>
      </c>
      <c r="C290" s="120">
        <v>0</v>
      </c>
      <c r="D290" s="61">
        <v>1</v>
      </c>
      <c r="E290" s="120">
        <v>1</v>
      </c>
      <c r="F290" s="120" t="s">
        <v>175</v>
      </c>
      <c r="G290" s="55">
        <v>75</v>
      </c>
      <c r="H290" s="120">
        <v>288</v>
      </c>
      <c r="I290" s="57">
        <v>140</v>
      </c>
      <c r="J290" s="120">
        <v>150</v>
      </c>
      <c r="K290" s="120">
        <v>4</v>
      </c>
      <c r="L290" s="120">
        <v>100</v>
      </c>
      <c r="M290" s="120">
        <v>15</v>
      </c>
      <c r="N290" s="120">
        <v>40</v>
      </c>
      <c r="O290" s="120">
        <v>2</v>
      </c>
      <c r="P290" s="120">
        <v>-9999</v>
      </c>
      <c r="Q290" s="120">
        <v>78.800003051757798</v>
      </c>
      <c r="R290" s="120">
        <v>64.099998474121094</v>
      </c>
      <c r="S290" s="148">
        <v>22.200000762939499</v>
      </c>
      <c r="T290" s="120">
        <v>-9999</v>
      </c>
      <c r="U290" s="120">
        <v>15</v>
      </c>
      <c r="V290" s="120">
        <v>-9999</v>
      </c>
      <c r="W290" s="120">
        <v>-9999</v>
      </c>
      <c r="X290" s="120">
        <v>-9999</v>
      </c>
      <c r="Y290" s="120">
        <v>-9999</v>
      </c>
      <c r="Z290" s="120">
        <v>-9999</v>
      </c>
      <c r="AA290" s="120">
        <v>68</v>
      </c>
      <c r="AB290" s="120">
        <v>14.5</v>
      </c>
      <c r="AC290" s="120">
        <v>289</v>
      </c>
      <c r="AD290" s="120">
        <v>1561</v>
      </c>
      <c r="AE290" s="120">
        <v>-9999</v>
      </c>
      <c r="AF290" s="120">
        <v>-9999</v>
      </c>
      <c r="AG290" s="120">
        <v>-9999</v>
      </c>
      <c r="AQ290" s="53">
        <v>5</v>
      </c>
      <c r="AR290" s="53">
        <v>100</v>
      </c>
      <c r="AS290" s="53">
        <v>200</v>
      </c>
      <c r="AT290" s="53">
        <f>AVERAGEIFS(Compressors!$S:$S,Compressors!$G:$G,AS290,Compressors!$I:$I,AR290,Compressors!$D:$D,AQ290)</f>
        <v>15.5</v>
      </c>
      <c r="AU290" s="53">
        <v>15.5</v>
      </c>
    </row>
    <row r="291" spans="1:48" x14ac:dyDescent="0.25">
      <c r="A291" s="120">
        <v>290</v>
      </c>
      <c r="B291" s="120" t="b">
        <v>0</v>
      </c>
      <c r="C291" s="120">
        <v>0</v>
      </c>
      <c r="D291" s="61">
        <v>1</v>
      </c>
      <c r="E291" s="120">
        <v>1</v>
      </c>
      <c r="F291" s="120" t="s">
        <v>175</v>
      </c>
      <c r="G291" s="55">
        <v>75</v>
      </c>
      <c r="H291" s="120">
        <v>288</v>
      </c>
      <c r="I291" s="57">
        <v>140</v>
      </c>
      <c r="J291" s="120">
        <v>150</v>
      </c>
      <c r="K291" s="120">
        <v>11</v>
      </c>
      <c r="L291" s="120">
        <v>60</v>
      </c>
      <c r="M291" s="120">
        <v>15</v>
      </c>
      <c r="N291" s="120">
        <v>40</v>
      </c>
      <c r="O291" s="120">
        <v>2</v>
      </c>
      <c r="P291" s="120">
        <v>25</v>
      </c>
      <c r="Q291" s="120">
        <v>78.800003051757798</v>
      </c>
      <c r="R291" s="120">
        <v>64.099998474121094</v>
      </c>
      <c r="S291" s="148">
        <v>22.200000762939499</v>
      </c>
      <c r="T291" s="120">
        <v>70</v>
      </c>
      <c r="U291" s="120">
        <v>15</v>
      </c>
      <c r="V291" s="120">
        <v>-9999</v>
      </c>
      <c r="W291" s="120">
        <v>-9999</v>
      </c>
      <c r="X291" s="120">
        <v>-9999</v>
      </c>
      <c r="Y291" s="120">
        <v>-9999</v>
      </c>
      <c r="Z291" s="120">
        <v>-9999</v>
      </c>
      <c r="AA291" s="120">
        <v>68</v>
      </c>
      <c r="AB291" s="120">
        <v>14.5</v>
      </c>
      <c r="AC291" s="120">
        <v>290</v>
      </c>
      <c r="AD291" s="120">
        <v>1562</v>
      </c>
      <c r="AE291" s="120">
        <v>-9999</v>
      </c>
      <c r="AF291" s="120">
        <v>-9999</v>
      </c>
      <c r="AG291" s="120">
        <v>-9999</v>
      </c>
      <c r="AQ291" s="53">
        <v>5</v>
      </c>
      <c r="AR291" s="53">
        <v>110</v>
      </c>
      <c r="AS291" s="53">
        <v>200</v>
      </c>
      <c r="AT291" s="53">
        <f>AVERAGEIFS(Compressors!$S:$S,Compressors!$G:$G,AS291,Compressors!$I:$I,AR291,Compressors!$D:$D,AQ291)</f>
        <v>16.200000762939499</v>
      </c>
      <c r="AU291" s="53">
        <v>16.200000762939499</v>
      </c>
    </row>
    <row r="292" spans="1:48" x14ac:dyDescent="0.25">
      <c r="A292" s="120">
        <v>291</v>
      </c>
      <c r="B292" s="120" t="b">
        <v>0</v>
      </c>
      <c r="C292" s="120">
        <v>0</v>
      </c>
      <c r="D292" s="61">
        <v>1</v>
      </c>
      <c r="E292" s="120">
        <v>1</v>
      </c>
      <c r="F292" s="120" t="s">
        <v>175</v>
      </c>
      <c r="G292" s="55">
        <v>75</v>
      </c>
      <c r="H292" s="120">
        <v>274</v>
      </c>
      <c r="I292" s="57">
        <v>150</v>
      </c>
      <c r="J292" s="120">
        <v>160</v>
      </c>
      <c r="K292" s="120">
        <v>1</v>
      </c>
      <c r="L292" s="120">
        <v>50</v>
      </c>
      <c r="M292" s="120">
        <v>15</v>
      </c>
      <c r="N292" s="120">
        <v>40</v>
      </c>
      <c r="O292" s="120">
        <v>2</v>
      </c>
      <c r="P292" s="120">
        <v>5</v>
      </c>
      <c r="Q292" s="120">
        <v>78.800003051757798</v>
      </c>
      <c r="R292" s="120">
        <v>64.099998474121094</v>
      </c>
      <c r="S292" s="148">
        <v>23.399999618530298</v>
      </c>
      <c r="T292" s="120">
        <v>65</v>
      </c>
      <c r="U292" s="120">
        <v>15</v>
      </c>
      <c r="V292" s="120">
        <v>-9999</v>
      </c>
      <c r="W292" s="120">
        <v>-9999</v>
      </c>
      <c r="X292" s="120">
        <v>-9999</v>
      </c>
      <c r="Y292" s="120">
        <v>-9999</v>
      </c>
      <c r="Z292" s="120">
        <v>-9999</v>
      </c>
      <c r="AA292" s="120">
        <v>68</v>
      </c>
      <c r="AB292" s="120">
        <v>14.5</v>
      </c>
      <c r="AC292" s="120">
        <v>291</v>
      </c>
      <c r="AD292" s="120">
        <v>1563</v>
      </c>
      <c r="AE292" s="120">
        <v>-9999</v>
      </c>
      <c r="AF292" s="120">
        <v>-9999</v>
      </c>
      <c r="AG292" s="120">
        <v>-9999</v>
      </c>
      <c r="AQ292" s="53">
        <v>5</v>
      </c>
      <c r="AR292" s="53">
        <v>115</v>
      </c>
      <c r="AS292" s="53">
        <v>200</v>
      </c>
      <c r="AT292" s="53">
        <f>AVERAGEIFS(Compressors!$S:$S,Compressors!$G:$G,AS292,Compressors!$I:$I,AR292,Compressors!$D:$D,AQ292)</f>
        <v>16.5</v>
      </c>
      <c r="AU292" s="53">
        <v>16.5</v>
      </c>
    </row>
    <row r="293" spans="1:48" x14ac:dyDescent="0.25">
      <c r="A293" s="120">
        <v>292</v>
      </c>
      <c r="B293" s="120" t="b">
        <v>0</v>
      </c>
      <c r="C293" s="120">
        <v>0</v>
      </c>
      <c r="D293" s="61">
        <v>1</v>
      </c>
      <c r="E293" s="120">
        <v>1</v>
      </c>
      <c r="F293" s="120" t="s">
        <v>175</v>
      </c>
      <c r="G293" s="55">
        <v>75</v>
      </c>
      <c r="H293" s="120">
        <v>287</v>
      </c>
      <c r="I293" s="57">
        <v>150</v>
      </c>
      <c r="J293" s="120">
        <v>150</v>
      </c>
      <c r="K293" s="120">
        <v>2</v>
      </c>
      <c r="L293" s="120">
        <v>50</v>
      </c>
      <c r="M293" s="120">
        <v>15</v>
      </c>
      <c r="N293" s="120">
        <v>40</v>
      </c>
      <c r="O293" s="120">
        <v>2</v>
      </c>
      <c r="P293" s="120">
        <v>20</v>
      </c>
      <c r="Q293" s="120">
        <v>82.5</v>
      </c>
      <c r="R293" s="120">
        <v>67.099998474121094</v>
      </c>
      <c r="S293" s="148">
        <v>23.399999618530298</v>
      </c>
      <c r="T293" s="120">
        <v>65</v>
      </c>
      <c r="U293" s="120">
        <v>15</v>
      </c>
      <c r="V293" s="120">
        <v>-9999</v>
      </c>
      <c r="W293" s="120">
        <v>-9999</v>
      </c>
      <c r="X293" s="120">
        <v>-9999</v>
      </c>
      <c r="Y293" s="120">
        <v>-9999</v>
      </c>
      <c r="Z293" s="120">
        <v>-9999</v>
      </c>
      <c r="AA293" s="120">
        <v>68</v>
      </c>
      <c r="AB293" s="120">
        <v>14.5</v>
      </c>
      <c r="AC293" s="120">
        <v>292</v>
      </c>
      <c r="AD293" s="120">
        <v>1564</v>
      </c>
      <c r="AE293" s="120">
        <v>-9999</v>
      </c>
      <c r="AF293" s="120">
        <v>-9999</v>
      </c>
      <c r="AG293" s="120">
        <v>-9999</v>
      </c>
      <c r="AQ293" s="53">
        <v>5</v>
      </c>
      <c r="AR293" s="53">
        <v>125</v>
      </c>
      <c r="AS293" s="53">
        <v>200</v>
      </c>
      <c r="AT293" s="53">
        <f>AVERAGEIFS(Compressors!$S:$S,Compressors!$G:$G,AS293,Compressors!$I:$I,AR293,Compressors!$D:$D,AQ293)</f>
        <v>17.100000381469702</v>
      </c>
      <c r="AU293" s="53">
        <v>17.100000381469702</v>
      </c>
    </row>
    <row r="294" spans="1:48" x14ac:dyDescent="0.25">
      <c r="A294" s="120">
        <v>293</v>
      </c>
      <c r="B294" s="120" t="b">
        <v>0</v>
      </c>
      <c r="C294" s="120">
        <v>0</v>
      </c>
      <c r="D294" s="61">
        <v>1</v>
      </c>
      <c r="E294" s="120">
        <v>1</v>
      </c>
      <c r="F294" s="120" t="s">
        <v>175</v>
      </c>
      <c r="G294" s="55">
        <v>75</v>
      </c>
      <c r="H294" s="120">
        <v>287</v>
      </c>
      <c r="I294" s="57">
        <v>150</v>
      </c>
      <c r="J294" s="120">
        <v>150</v>
      </c>
      <c r="K294" s="120">
        <v>3</v>
      </c>
      <c r="L294" s="120">
        <v>40</v>
      </c>
      <c r="M294" s="120">
        <v>15</v>
      </c>
      <c r="N294" s="120">
        <v>40</v>
      </c>
      <c r="O294" s="120">
        <v>2</v>
      </c>
      <c r="P294" s="120">
        <v>16.666999816894499</v>
      </c>
      <c r="Q294" s="120">
        <v>82.5</v>
      </c>
      <c r="R294" s="120">
        <v>67.099998474121094</v>
      </c>
      <c r="S294" s="148">
        <v>23.399999618530298</v>
      </c>
      <c r="T294" s="120">
        <v>57</v>
      </c>
      <c r="U294" s="120">
        <v>15</v>
      </c>
      <c r="V294" s="120">
        <v>-9999</v>
      </c>
      <c r="W294" s="120">
        <v>-9999</v>
      </c>
      <c r="X294" s="120">
        <v>-9999</v>
      </c>
      <c r="Y294" s="120">
        <v>-9999</v>
      </c>
      <c r="Z294" s="120">
        <v>-9999</v>
      </c>
      <c r="AA294" s="120">
        <v>68</v>
      </c>
      <c r="AB294" s="120">
        <v>14.5</v>
      </c>
      <c r="AC294" s="120">
        <v>293</v>
      </c>
      <c r="AD294" s="120">
        <v>1565</v>
      </c>
      <c r="AE294" s="120">
        <v>-9999</v>
      </c>
      <c r="AF294" s="120">
        <v>-9999</v>
      </c>
      <c r="AG294" s="120">
        <v>-9999</v>
      </c>
      <c r="AQ294" s="53">
        <v>6</v>
      </c>
      <c r="AR294" s="53">
        <v>100</v>
      </c>
      <c r="AS294" s="53">
        <v>200</v>
      </c>
      <c r="AT294" s="53" t="e">
        <f>AVERAGEIFS(Compressors!$S:$S,Compressors!$G:$G,AS294,Compressors!$I:$I,AR294,Compressors!$D:$D,AQ294)</f>
        <v>#DIV/0!</v>
      </c>
      <c r="AU294" s="119"/>
    </row>
    <row r="295" spans="1:48" x14ac:dyDescent="0.25">
      <c r="A295" s="120">
        <v>294</v>
      </c>
      <c r="B295" s="120" t="b">
        <v>0</v>
      </c>
      <c r="C295" s="120">
        <v>0</v>
      </c>
      <c r="D295" s="61">
        <v>1</v>
      </c>
      <c r="E295" s="120">
        <v>1</v>
      </c>
      <c r="F295" s="120" t="s">
        <v>175</v>
      </c>
      <c r="G295" s="55">
        <v>75</v>
      </c>
      <c r="H295" s="120">
        <v>274</v>
      </c>
      <c r="I295" s="57">
        <v>150</v>
      </c>
      <c r="J295" s="120">
        <v>160</v>
      </c>
      <c r="K295" s="120">
        <v>4</v>
      </c>
      <c r="L295" s="120">
        <v>100</v>
      </c>
      <c r="M295" s="120">
        <v>15</v>
      </c>
      <c r="N295" s="120">
        <v>40</v>
      </c>
      <c r="O295" s="120">
        <v>2</v>
      </c>
      <c r="P295" s="120">
        <v>-9999</v>
      </c>
      <c r="Q295" s="120">
        <v>78.800003051757798</v>
      </c>
      <c r="R295" s="120">
        <v>64.099998474121094</v>
      </c>
      <c r="S295" s="148">
        <v>23.399999618530298</v>
      </c>
      <c r="T295" s="120">
        <v>-9999</v>
      </c>
      <c r="U295" s="120">
        <v>15</v>
      </c>
      <c r="V295" s="120">
        <v>-9999</v>
      </c>
      <c r="W295" s="120">
        <v>-9999</v>
      </c>
      <c r="X295" s="120">
        <v>-9999</v>
      </c>
      <c r="Y295" s="120">
        <v>-9999</v>
      </c>
      <c r="Z295" s="120">
        <v>-9999</v>
      </c>
      <c r="AA295" s="120">
        <v>68</v>
      </c>
      <c r="AB295" s="120">
        <v>14.5</v>
      </c>
      <c r="AC295" s="120">
        <v>294</v>
      </c>
      <c r="AD295" s="120">
        <v>1566</v>
      </c>
      <c r="AE295" s="120">
        <v>-9999</v>
      </c>
      <c r="AF295" s="120">
        <v>-9999</v>
      </c>
      <c r="AG295" s="120">
        <v>-9999</v>
      </c>
      <c r="AQ295" s="53">
        <v>6</v>
      </c>
      <c r="AR295" s="53">
        <v>110</v>
      </c>
      <c r="AS295" s="53">
        <v>200</v>
      </c>
      <c r="AT295" s="53" t="e">
        <f>AVERAGEIFS(Compressors!$S:$S,Compressors!$G:$G,AS295,Compressors!$I:$I,AR295,Compressors!$D:$D,AQ295)</f>
        <v>#DIV/0!</v>
      </c>
      <c r="AU295" s="119"/>
    </row>
    <row r="296" spans="1:48" x14ac:dyDescent="0.25">
      <c r="A296" s="120">
        <v>295</v>
      </c>
      <c r="B296" s="120" t="b">
        <v>0</v>
      </c>
      <c r="C296" s="120">
        <v>0</v>
      </c>
      <c r="D296" s="61">
        <v>1</v>
      </c>
      <c r="E296" s="120">
        <v>1</v>
      </c>
      <c r="F296" s="120" t="s">
        <v>175</v>
      </c>
      <c r="G296" s="55">
        <v>75</v>
      </c>
      <c r="H296" s="120">
        <v>274</v>
      </c>
      <c r="I296" s="57">
        <v>150</v>
      </c>
      <c r="J296" s="120">
        <v>160</v>
      </c>
      <c r="K296" s="120">
        <v>11</v>
      </c>
      <c r="L296" s="120">
        <v>60</v>
      </c>
      <c r="M296" s="120">
        <v>15</v>
      </c>
      <c r="N296" s="120">
        <v>40</v>
      </c>
      <c r="O296" s="120">
        <v>2</v>
      </c>
      <c r="P296" s="120">
        <v>25</v>
      </c>
      <c r="Q296" s="120">
        <v>78.800003051757798</v>
      </c>
      <c r="R296" s="120">
        <v>64.099998474121094</v>
      </c>
      <c r="S296" s="148">
        <v>23.399999618530298</v>
      </c>
      <c r="T296" s="120">
        <v>70</v>
      </c>
      <c r="U296" s="120">
        <v>15</v>
      </c>
      <c r="V296" s="120">
        <v>-9999</v>
      </c>
      <c r="W296" s="120">
        <v>-9999</v>
      </c>
      <c r="X296" s="120">
        <v>-9999</v>
      </c>
      <c r="Y296" s="120">
        <v>-9999</v>
      </c>
      <c r="Z296" s="120">
        <v>-9999</v>
      </c>
      <c r="AA296" s="120">
        <v>68</v>
      </c>
      <c r="AB296" s="120">
        <v>14.5</v>
      </c>
      <c r="AC296" s="120">
        <v>295</v>
      </c>
      <c r="AD296" s="120">
        <v>1567</v>
      </c>
      <c r="AE296" s="120">
        <v>-9999</v>
      </c>
      <c r="AF296" s="120">
        <v>-9999</v>
      </c>
      <c r="AG296" s="120">
        <v>-9999</v>
      </c>
      <c r="AQ296" s="53">
        <v>6</v>
      </c>
      <c r="AR296" s="53">
        <v>115</v>
      </c>
      <c r="AS296" s="53">
        <v>200</v>
      </c>
      <c r="AT296" s="53" t="e">
        <f>AVERAGEIFS(Compressors!$S:$S,Compressors!$G:$G,AS296,Compressors!$I:$I,AR296,Compressors!$D:$D,AQ296)</f>
        <v>#DIV/0!</v>
      </c>
      <c r="AU296" s="119"/>
    </row>
    <row r="297" spans="1:48" x14ac:dyDescent="0.25">
      <c r="A297" s="120">
        <v>296</v>
      </c>
      <c r="B297" s="120" t="b">
        <v>0</v>
      </c>
      <c r="C297" s="120">
        <v>0</v>
      </c>
      <c r="D297" s="61">
        <v>1</v>
      </c>
      <c r="E297" s="120">
        <v>1</v>
      </c>
      <c r="F297" s="120" t="s">
        <v>175</v>
      </c>
      <c r="G297" s="55">
        <v>75</v>
      </c>
      <c r="H297" s="120">
        <v>229</v>
      </c>
      <c r="I297" s="57">
        <v>165</v>
      </c>
      <c r="J297" s="120">
        <v>175</v>
      </c>
      <c r="K297" s="120">
        <v>1</v>
      </c>
      <c r="L297" s="120">
        <v>50</v>
      </c>
      <c r="M297" s="120">
        <v>15</v>
      </c>
      <c r="N297" s="120">
        <v>40</v>
      </c>
      <c r="O297" s="120">
        <v>2</v>
      </c>
      <c r="P297" s="120">
        <v>5</v>
      </c>
      <c r="Q297" s="120">
        <v>78.800003051757798</v>
      </c>
      <c r="R297" s="120">
        <v>64.099998474121094</v>
      </c>
      <c r="S297" s="148">
        <v>28</v>
      </c>
      <c r="T297" s="120">
        <v>65</v>
      </c>
      <c r="U297" s="120">
        <v>13</v>
      </c>
      <c r="V297" s="120">
        <v>-9999</v>
      </c>
      <c r="W297" s="120">
        <v>-9999</v>
      </c>
      <c r="X297" s="120">
        <v>-9999</v>
      </c>
      <c r="Y297" s="120">
        <v>-9999</v>
      </c>
      <c r="Z297" s="120">
        <v>-9999</v>
      </c>
      <c r="AA297" s="120">
        <v>68</v>
      </c>
      <c r="AB297" s="120">
        <v>14.5</v>
      </c>
      <c r="AC297" s="120">
        <v>296</v>
      </c>
      <c r="AD297" s="120">
        <v>1568</v>
      </c>
      <c r="AE297" s="120">
        <v>-9999</v>
      </c>
      <c r="AF297" s="120">
        <v>-9999</v>
      </c>
      <c r="AG297" s="120">
        <v>-9999</v>
      </c>
      <c r="AQ297" s="53">
        <v>6</v>
      </c>
      <c r="AR297" s="53">
        <v>125</v>
      </c>
      <c r="AS297" s="53">
        <v>200</v>
      </c>
      <c r="AT297" s="53" t="e">
        <f>AVERAGEIFS(Compressors!$S:$S,Compressors!$G:$G,AS297,Compressors!$I:$I,AR297,Compressors!$D:$D,AQ297)</f>
        <v>#DIV/0!</v>
      </c>
      <c r="AU297" s="119"/>
    </row>
    <row r="298" spans="1:48" x14ac:dyDescent="0.25">
      <c r="A298" s="120">
        <v>297</v>
      </c>
      <c r="B298" s="120" t="b">
        <v>0</v>
      </c>
      <c r="C298" s="120">
        <v>0</v>
      </c>
      <c r="D298" s="61">
        <v>1</v>
      </c>
      <c r="E298" s="120">
        <v>1</v>
      </c>
      <c r="F298" s="120" t="s">
        <v>175</v>
      </c>
      <c r="G298" s="55">
        <v>75</v>
      </c>
      <c r="H298" s="120">
        <v>240</v>
      </c>
      <c r="I298" s="57">
        <v>165</v>
      </c>
      <c r="J298" s="120">
        <v>165</v>
      </c>
      <c r="K298" s="120">
        <v>2</v>
      </c>
      <c r="L298" s="120">
        <v>50</v>
      </c>
      <c r="M298" s="120">
        <v>15</v>
      </c>
      <c r="N298" s="120">
        <v>40</v>
      </c>
      <c r="O298" s="120">
        <v>2</v>
      </c>
      <c r="P298" s="120">
        <v>20</v>
      </c>
      <c r="Q298" s="120">
        <v>82.5</v>
      </c>
      <c r="R298" s="120">
        <v>67.099998474121094</v>
      </c>
      <c r="S298" s="148">
        <v>28</v>
      </c>
      <c r="T298" s="120">
        <v>65</v>
      </c>
      <c r="U298" s="120">
        <v>13</v>
      </c>
      <c r="V298" s="120">
        <v>-9999</v>
      </c>
      <c r="W298" s="120">
        <v>-9999</v>
      </c>
      <c r="X298" s="120">
        <v>-9999</v>
      </c>
      <c r="Y298" s="120">
        <v>-9999</v>
      </c>
      <c r="Z298" s="120">
        <v>-9999</v>
      </c>
      <c r="AA298" s="120">
        <v>68</v>
      </c>
      <c r="AB298" s="120">
        <v>14.5</v>
      </c>
      <c r="AC298" s="120">
        <v>297</v>
      </c>
      <c r="AD298" s="120">
        <v>1569</v>
      </c>
      <c r="AE298" s="120">
        <v>-9999</v>
      </c>
      <c r="AF298" s="120">
        <v>-9999</v>
      </c>
      <c r="AG298" s="120">
        <v>-9999</v>
      </c>
      <c r="AQ298" s="54">
        <v>1</v>
      </c>
      <c r="AR298" s="54">
        <v>100</v>
      </c>
      <c r="AS298" s="54">
        <v>250</v>
      </c>
      <c r="AT298" s="54">
        <f>AVERAGEIFS(Compressors!$S:$S,Compressors!$G:$G,AS298,Compressors!$I:$I,AR298,Compressors!$D:$D,AQ298)</f>
        <v>17.399999618530298</v>
      </c>
      <c r="AU298" s="54">
        <v>17.399999999999999</v>
      </c>
    </row>
    <row r="299" spans="1:48" x14ac:dyDescent="0.25">
      <c r="A299" s="120">
        <v>298</v>
      </c>
      <c r="B299" s="120" t="b">
        <v>0</v>
      </c>
      <c r="C299" s="120">
        <v>0</v>
      </c>
      <c r="D299" s="61">
        <v>1</v>
      </c>
      <c r="E299" s="120">
        <v>1</v>
      </c>
      <c r="F299" s="120" t="s">
        <v>175</v>
      </c>
      <c r="G299" s="55">
        <v>75</v>
      </c>
      <c r="H299" s="120">
        <v>240</v>
      </c>
      <c r="I299" s="57">
        <v>165</v>
      </c>
      <c r="J299" s="120">
        <v>165</v>
      </c>
      <c r="K299" s="120">
        <v>3</v>
      </c>
      <c r="L299" s="120">
        <v>40</v>
      </c>
      <c r="M299" s="120">
        <v>15</v>
      </c>
      <c r="N299" s="120">
        <v>40</v>
      </c>
      <c r="O299" s="120">
        <v>2</v>
      </c>
      <c r="P299" s="120">
        <v>16.666999816894499</v>
      </c>
      <c r="Q299" s="120">
        <v>82.5</v>
      </c>
      <c r="R299" s="120">
        <v>67.099998474121094</v>
      </c>
      <c r="S299" s="148">
        <v>28</v>
      </c>
      <c r="T299" s="120">
        <v>57</v>
      </c>
      <c r="U299" s="120">
        <v>13</v>
      </c>
      <c r="V299" s="120">
        <v>-9999</v>
      </c>
      <c r="W299" s="120">
        <v>-9999</v>
      </c>
      <c r="X299" s="120">
        <v>-9999</v>
      </c>
      <c r="Y299" s="120">
        <v>-9999</v>
      </c>
      <c r="Z299" s="120">
        <v>-9999</v>
      </c>
      <c r="AA299" s="120">
        <v>68</v>
      </c>
      <c r="AB299" s="120">
        <v>14.5</v>
      </c>
      <c r="AC299" s="120">
        <v>298</v>
      </c>
      <c r="AD299" s="120">
        <v>1570</v>
      </c>
      <c r="AE299" s="120">
        <v>-9999</v>
      </c>
      <c r="AF299" s="120">
        <v>-9999</v>
      </c>
      <c r="AG299" s="120">
        <v>-9999</v>
      </c>
      <c r="AQ299" s="54">
        <v>1</v>
      </c>
      <c r="AR299" s="54">
        <v>110</v>
      </c>
      <c r="AS299" s="54">
        <v>250</v>
      </c>
      <c r="AT299" s="54">
        <f>AVERAGEIFS(Compressors!$S:$S,Compressors!$G:$G,AS299,Compressors!$I:$I,AR299,Compressors!$D:$D,AQ299)</f>
        <v>17.700000762939499</v>
      </c>
      <c r="AU299" s="54">
        <v>17.7</v>
      </c>
    </row>
    <row r="300" spans="1:48" x14ac:dyDescent="0.25">
      <c r="A300" s="120">
        <v>299</v>
      </c>
      <c r="B300" s="120" t="b">
        <v>0</v>
      </c>
      <c r="C300" s="120">
        <v>0</v>
      </c>
      <c r="D300" s="61">
        <v>1</v>
      </c>
      <c r="E300" s="120">
        <v>1</v>
      </c>
      <c r="F300" s="120" t="s">
        <v>175</v>
      </c>
      <c r="G300" s="55">
        <v>75</v>
      </c>
      <c r="H300" s="120">
        <v>229</v>
      </c>
      <c r="I300" s="57">
        <v>165</v>
      </c>
      <c r="J300" s="120">
        <v>175</v>
      </c>
      <c r="K300" s="120">
        <v>4</v>
      </c>
      <c r="L300" s="120">
        <v>100</v>
      </c>
      <c r="M300" s="120">
        <v>15</v>
      </c>
      <c r="N300" s="120">
        <v>40</v>
      </c>
      <c r="O300" s="120">
        <v>2</v>
      </c>
      <c r="P300" s="120">
        <v>-9999</v>
      </c>
      <c r="Q300" s="120">
        <v>78.800003051757798</v>
      </c>
      <c r="R300" s="120">
        <v>64.099998474121094</v>
      </c>
      <c r="S300" s="148">
        <v>28</v>
      </c>
      <c r="T300" s="120">
        <v>-9999</v>
      </c>
      <c r="U300" s="120">
        <v>13</v>
      </c>
      <c r="V300" s="120">
        <v>-9999</v>
      </c>
      <c r="W300" s="120">
        <v>-9999</v>
      </c>
      <c r="X300" s="120">
        <v>-9999</v>
      </c>
      <c r="Y300" s="120">
        <v>-9999</v>
      </c>
      <c r="Z300" s="120">
        <v>-9999</v>
      </c>
      <c r="AA300" s="120">
        <v>68</v>
      </c>
      <c r="AB300" s="120">
        <v>14.5</v>
      </c>
      <c r="AC300" s="120">
        <v>299</v>
      </c>
      <c r="AD300" s="120">
        <v>1571</v>
      </c>
      <c r="AE300" s="120">
        <v>-9999</v>
      </c>
      <c r="AF300" s="120">
        <v>-9999</v>
      </c>
      <c r="AG300" s="120">
        <v>-9999</v>
      </c>
      <c r="AQ300" s="54">
        <v>1</v>
      </c>
      <c r="AR300" s="54">
        <v>115</v>
      </c>
      <c r="AS300" s="54">
        <v>250</v>
      </c>
      <c r="AT300" s="54">
        <f>AVERAGEIFS(Compressors!$S:$S,Compressors!$G:$G,AS300,Compressors!$I:$I,AR300,Compressors!$D:$D,AQ300)</f>
        <v>19.200000762939499</v>
      </c>
      <c r="AU300" s="54">
        <v>19.2</v>
      </c>
    </row>
    <row r="301" spans="1:48" x14ac:dyDescent="0.25">
      <c r="A301" s="120">
        <v>300</v>
      </c>
      <c r="B301" s="120" t="b">
        <v>0</v>
      </c>
      <c r="C301" s="120">
        <v>0</v>
      </c>
      <c r="D301" s="61">
        <v>1</v>
      </c>
      <c r="E301" s="120">
        <v>1</v>
      </c>
      <c r="F301" s="120" t="s">
        <v>175</v>
      </c>
      <c r="G301" s="55">
        <v>75</v>
      </c>
      <c r="H301" s="120">
        <v>229</v>
      </c>
      <c r="I301" s="57">
        <v>165</v>
      </c>
      <c r="J301" s="120">
        <v>175</v>
      </c>
      <c r="K301" s="120">
        <v>11</v>
      </c>
      <c r="L301" s="120">
        <v>60</v>
      </c>
      <c r="M301" s="120">
        <v>15</v>
      </c>
      <c r="N301" s="120">
        <v>40</v>
      </c>
      <c r="O301" s="120">
        <v>2</v>
      </c>
      <c r="P301" s="120">
        <v>25</v>
      </c>
      <c r="Q301" s="120">
        <v>78.800003051757798</v>
      </c>
      <c r="R301" s="120">
        <v>64.099998474121094</v>
      </c>
      <c r="S301" s="148">
        <v>28</v>
      </c>
      <c r="T301" s="120">
        <v>70</v>
      </c>
      <c r="U301" s="120">
        <v>13</v>
      </c>
      <c r="V301" s="120">
        <v>-9999</v>
      </c>
      <c r="W301" s="120">
        <v>-9999</v>
      </c>
      <c r="X301" s="120">
        <v>-9999</v>
      </c>
      <c r="Y301" s="120">
        <v>-9999</v>
      </c>
      <c r="Z301" s="120">
        <v>-9999</v>
      </c>
      <c r="AA301" s="120">
        <v>68</v>
      </c>
      <c r="AB301" s="120">
        <v>14.5</v>
      </c>
      <c r="AC301" s="120">
        <v>300</v>
      </c>
      <c r="AD301" s="120">
        <v>1572</v>
      </c>
      <c r="AE301" s="120">
        <v>-9999</v>
      </c>
      <c r="AF301" s="120">
        <v>-9999</v>
      </c>
      <c r="AG301" s="120">
        <v>-9999</v>
      </c>
      <c r="AQ301" s="54">
        <v>1</v>
      </c>
      <c r="AR301" s="54">
        <v>125</v>
      </c>
      <c r="AS301" s="54">
        <v>250</v>
      </c>
      <c r="AT301" s="54">
        <f>AVERAGEIFS(Compressors!$S:$S,Compressors!$G:$G,AS301,Compressors!$I:$I,AR301,Compressors!$D:$D,AQ301)</f>
        <v>19.5</v>
      </c>
      <c r="AU301" s="54">
        <v>19.5</v>
      </c>
    </row>
    <row r="302" spans="1:48" x14ac:dyDescent="0.25">
      <c r="A302" s="120">
        <v>301</v>
      </c>
      <c r="B302" s="120" t="b">
        <v>0</v>
      </c>
      <c r="C302" s="120">
        <v>0</v>
      </c>
      <c r="D302" s="61">
        <v>1</v>
      </c>
      <c r="E302" s="120">
        <v>1</v>
      </c>
      <c r="F302" s="120" t="s">
        <v>175</v>
      </c>
      <c r="G302" s="55">
        <v>75</v>
      </c>
      <c r="H302" s="120">
        <v>253</v>
      </c>
      <c r="I302" s="57">
        <v>175</v>
      </c>
      <c r="J302" s="120">
        <v>185</v>
      </c>
      <c r="K302" s="120">
        <v>1</v>
      </c>
      <c r="L302" s="120">
        <v>50</v>
      </c>
      <c r="M302" s="120">
        <v>15</v>
      </c>
      <c r="N302" s="120">
        <v>40</v>
      </c>
      <c r="O302" s="120">
        <v>2</v>
      </c>
      <c r="P302" s="120">
        <v>5</v>
      </c>
      <c r="Q302" s="120">
        <v>78.800003051757798</v>
      </c>
      <c r="R302" s="120">
        <v>64.099998474121094</v>
      </c>
      <c r="S302" s="148">
        <v>25.399999618530298</v>
      </c>
      <c r="T302" s="120">
        <v>65</v>
      </c>
      <c r="U302" s="120">
        <v>12</v>
      </c>
      <c r="V302" s="120">
        <v>-9999</v>
      </c>
      <c r="W302" s="120">
        <v>-9999</v>
      </c>
      <c r="X302" s="120">
        <v>-9999</v>
      </c>
      <c r="Y302" s="120">
        <v>-9999</v>
      </c>
      <c r="Z302" s="120">
        <v>-9999</v>
      </c>
      <c r="AA302" s="120">
        <v>68</v>
      </c>
      <c r="AB302" s="120">
        <v>14.5</v>
      </c>
      <c r="AC302" s="120">
        <v>301</v>
      </c>
      <c r="AD302" s="120">
        <v>1573</v>
      </c>
      <c r="AE302" s="120">
        <v>-9999</v>
      </c>
      <c r="AF302" s="120">
        <v>-9999</v>
      </c>
      <c r="AG302" s="120">
        <v>-9999</v>
      </c>
      <c r="AQ302" s="54">
        <v>2</v>
      </c>
      <c r="AR302" s="54">
        <v>100</v>
      </c>
      <c r="AS302" s="54">
        <v>250</v>
      </c>
      <c r="AT302" s="54">
        <f>AVERAGEIFS(Compressors!$S:$S,Compressors!$G:$G,AS302,Compressors!$I:$I,AR302,Compressors!$D:$D,AQ302)</f>
        <v>15.800000190734901</v>
      </c>
      <c r="AU302" s="54">
        <v>15.8</v>
      </c>
      <c r="AV302">
        <f>AT302/AT298</f>
        <v>0.90804600788085865</v>
      </c>
    </row>
    <row r="303" spans="1:48" x14ac:dyDescent="0.25">
      <c r="A303" s="120">
        <v>302</v>
      </c>
      <c r="B303" s="120" t="b">
        <v>0</v>
      </c>
      <c r="C303" s="120">
        <v>0</v>
      </c>
      <c r="D303" s="61">
        <v>1</v>
      </c>
      <c r="E303" s="120">
        <v>1</v>
      </c>
      <c r="F303" s="120" t="s">
        <v>175</v>
      </c>
      <c r="G303" s="55">
        <v>75</v>
      </c>
      <c r="H303" s="120">
        <v>265</v>
      </c>
      <c r="I303" s="57">
        <v>175</v>
      </c>
      <c r="J303" s="120">
        <v>175</v>
      </c>
      <c r="K303" s="120">
        <v>2</v>
      </c>
      <c r="L303" s="120">
        <v>50</v>
      </c>
      <c r="M303" s="120">
        <v>15</v>
      </c>
      <c r="N303" s="120">
        <v>40</v>
      </c>
      <c r="O303" s="120">
        <v>2</v>
      </c>
      <c r="P303" s="120">
        <v>20</v>
      </c>
      <c r="Q303" s="120">
        <v>82.5</v>
      </c>
      <c r="R303" s="120">
        <v>67.099998474121094</v>
      </c>
      <c r="S303" s="148">
        <v>25.399999618530298</v>
      </c>
      <c r="T303" s="120">
        <v>65</v>
      </c>
      <c r="U303" s="120">
        <v>12</v>
      </c>
      <c r="V303" s="120">
        <v>-9999</v>
      </c>
      <c r="W303" s="120">
        <v>-9999</v>
      </c>
      <c r="X303" s="120">
        <v>-9999</v>
      </c>
      <c r="Y303" s="120">
        <v>-9999</v>
      </c>
      <c r="Z303" s="120">
        <v>-9999</v>
      </c>
      <c r="AA303" s="120">
        <v>68</v>
      </c>
      <c r="AB303" s="120">
        <v>14.5</v>
      </c>
      <c r="AC303" s="120">
        <v>302</v>
      </c>
      <c r="AD303" s="120">
        <v>1574</v>
      </c>
      <c r="AE303" s="120">
        <v>-9999</v>
      </c>
      <c r="AF303" s="120">
        <v>-9999</v>
      </c>
      <c r="AG303" s="120">
        <v>-9999</v>
      </c>
      <c r="AQ303" s="54">
        <v>2</v>
      </c>
      <c r="AR303" s="54">
        <v>110</v>
      </c>
      <c r="AS303" s="54">
        <v>250</v>
      </c>
      <c r="AT303" s="54" t="e">
        <f>AVERAGEIFS(Compressors!$S:$S,Compressors!$G:$G,AS303,Compressors!$I:$I,AR303,Compressors!$D:$D,AQ303)</f>
        <v>#DIV/0!</v>
      </c>
      <c r="AU303">
        <f>AU299*0.9</f>
        <v>15.93</v>
      </c>
      <c r="AV303" t="e">
        <f>AT303/AT299</f>
        <v>#DIV/0!</v>
      </c>
    </row>
    <row r="304" spans="1:48" x14ac:dyDescent="0.25">
      <c r="A304" s="120">
        <v>303</v>
      </c>
      <c r="B304" s="120" t="b">
        <v>0</v>
      </c>
      <c r="C304" s="120">
        <v>0</v>
      </c>
      <c r="D304" s="61">
        <v>1</v>
      </c>
      <c r="E304" s="120">
        <v>1</v>
      </c>
      <c r="F304" s="120" t="s">
        <v>175</v>
      </c>
      <c r="G304" s="55">
        <v>75</v>
      </c>
      <c r="H304" s="120">
        <v>265</v>
      </c>
      <c r="I304" s="57">
        <v>175</v>
      </c>
      <c r="J304" s="120">
        <v>175</v>
      </c>
      <c r="K304" s="120">
        <v>3</v>
      </c>
      <c r="L304" s="120">
        <v>40</v>
      </c>
      <c r="M304" s="120">
        <v>15</v>
      </c>
      <c r="N304" s="120">
        <v>40</v>
      </c>
      <c r="O304" s="120">
        <v>2</v>
      </c>
      <c r="P304" s="120">
        <v>16.666999816894499</v>
      </c>
      <c r="Q304" s="120">
        <v>82.5</v>
      </c>
      <c r="R304" s="120">
        <v>67.099998474121094</v>
      </c>
      <c r="S304" s="148">
        <v>25.399999618530298</v>
      </c>
      <c r="T304" s="120">
        <v>57</v>
      </c>
      <c r="U304" s="120">
        <v>12</v>
      </c>
      <c r="V304" s="120">
        <v>-9999</v>
      </c>
      <c r="W304" s="120">
        <v>-9999</v>
      </c>
      <c r="X304" s="120">
        <v>-9999</v>
      </c>
      <c r="Y304" s="120">
        <v>-9999</v>
      </c>
      <c r="Z304" s="120">
        <v>-9999</v>
      </c>
      <c r="AA304" s="120">
        <v>68</v>
      </c>
      <c r="AB304" s="120">
        <v>14.5</v>
      </c>
      <c r="AC304" s="120">
        <v>303</v>
      </c>
      <c r="AD304" s="120">
        <v>1575</v>
      </c>
      <c r="AE304" s="120">
        <v>-9999</v>
      </c>
      <c r="AF304" s="120">
        <v>-9999</v>
      </c>
      <c r="AG304" s="120">
        <v>-9999</v>
      </c>
      <c r="AQ304" s="54">
        <v>2</v>
      </c>
      <c r="AR304" s="54">
        <v>115</v>
      </c>
      <c r="AS304" s="54">
        <v>250</v>
      </c>
      <c r="AT304" s="54" t="e">
        <f>AVERAGEIFS(Compressors!$S:$S,Compressors!$G:$G,AS304,Compressors!$I:$I,AR304,Compressors!$D:$D,AQ304)</f>
        <v>#DIV/0!</v>
      </c>
      <c r="AU304">
        <f>AU300*0.9</f>
        <v>17.28</v>
      </c>
      <c r="AV304" t="e">
        <f>AT304/AT300</f>
        <v>#DIV/0!</v>
      </c>
    </row>
    <row r="305" spans="1:48" x14ac:dyDescent="0.25">
      <c r="A305" s="120">
        <v>304</v>
      </c>
      <c r="B305" s="120" t="b">
        <v>0</v>
      </c>
      <c r="C305" s="120">
        <v>0</v>
      </c>
      <c r="D305" s="61">
        <v>1</v>
      </c>
      <c r="E305" s="120">
        <v>1</v>
      </c>
      <c r="F305" s="120" t="s">
        <v>175</v>
      </c>
      <c r="G305" s="55">
        <v>75</v>
      </c>
      <c r="H305" s="120">
        <v>253</v>
      </c>
      <c r="I305" s="57">
        <v>175</v>
      </c>
      <c r="J305" s="120">
        <v>185</v>
      </c>
      <c r="K305" s="120">
        <v>4</v>
      </c>
      <c r="L305" s="120">
        <v>100</v>
      </c>
      <c r="M305" s="120">
        <v>15</v>
      </c>
      <c r="N305" s="120">
        <v>40</v>
      </c>
      <c r="O305" s="120">
        <v>2</v>
      </c>
      <c r="P305" s="120">
        <v>-9999</v>
      </c>
      <c r="Q305" s="120">
        <v>78.800003051757798</v>
      </c>
      <c r="R305" s="120">
        <v>64.099998474121094</v>
      </c>
      <c r="S305" s="148">
        <v>25.399999618530298</v>
      </c>
      <c r="T305" s="120">
        <v>-9999</v>
      </c>
      <c r="U305" s="120">
        <v>12</v>
      </c>
      <c r="V305" s="120">
        <v>-9999</v>
      </c>
      <c r="W305" s="120">
        <v>-9999</v>
      </c>
      <c r="X305" s="120">
        <v>-9999</v>
      </c>
      <c r="Y305" s="120">
        <v>-9999</v>
      </c>
      <c r="Z305" s="120">
        <v>-9999</v>
      </c>
      <c r="AA305" s="120">
        <v>68</v>
      </c>
      <c r="AB305" s="120">
        <v>14.5</v>
      </c>
      <c r="AC305" s="120">
        <v>304</v>
      </c>
      <c r="AD305" s="120">
        <v>1576</v>
      </c>
      <c r="AE305" s="120">
        <v>-9999</v>
      </c>
      <c r="AF305" s="120">
        <v>-9999</v>
      </c>
      <c r="AG305" s="120">
        <v>-9999</v>
      </c>
      <c r="AQ305" s="54">
        <v>2</v>
      </c>
      <c r="AR305" s="54">
        <v>125</v>
      </c>
      <c r="AS305" s="54">
        <v>250</v>
      </c>
      <c r="AT305" s="54">
        <f>AVERAGEIFS(Compressors!$S:$S,Compressors!$G:$G,AS305,Compressors!$I:$I,AR305,Compressors!$D:$D,AQ305)</f>
        <v>17.5</v>
      </c>
      <c r="AU305" s="54">
        <v>17.5</v>
      </c>
      <c r="AV305">
        <f>AT305/AT301</f>
        <v>0.89743589743589747</v>
      </c>
    </row>
    <row r="306" spans="1:48" x14ac:dyDescent="0.25">
      <c r="A306" s="120">
        <v>305</v>
      </c>
      <c r="B306" s="120" t="b">
        <v>0</v>
      </c>
      <c r="C306" s="120">
        <v>0</v>
      </c>
      <c r="D306" s="61">
        <v>1</v>
      </c>
      <c r="E306" s="120">
        <v>1</v>
      </c>
      <c r="F306" s="120" t="s">
        <v>175</v>
      </c>
      <c r="G306" s="55">
        <v>75</v>
      </c>
      <c r="H306" s="120">
        <v>253</v>
      </c>
      <c r="I306" s="57">
        <v>175</v>
      </c>
      <c r="J306" s="120">
        <v>185</v>
      </c>
      <c r="K306" s="120">
        <v>11</v>
      </c>
      <c r="L306" s="120">
        <v>60</v>
      </c>
      <c r="M306" s="120">
        <v>15</v>
      </c>
      <c r="N306" s="120">
        <v>40</v>
      </c>
      <c r="O306" s="120">
        <v>2</v>
      </c>
      <c r="P306" s="120">
        <v>25</v>
      </c>
      <c r="Q306" s="120">
        <v>78.800003051757798</v>
      </c>
      <c r="R306" s="120">
        <v>64.099998474121094</v>
      </c>
      <c r="S306" s="148">
        <v>25.399999618530298</v>
      </c>
      <c r="T306" s="120">
        <v>70</v>
      </c>
      <c r="U306" s="120">
        <v>12</v>
      </c>
      <c r="V306" s="120">
        <v>-9999</v>
      </c>
      <c r="W306" s="120">
        <v>-9999</v>
      </c>
      <c r="X306" s="120">
        <v>-9999</v>
      </c>
      <c r="Y306" s="120">
        <v>-9999</v>
      </c>
      <c r="Z306" s="120">
        <v>-9999</v>
      </c>
      <c r="AA306" s="120">
        <v>68</v>
      </c>
      <c r="AB306" s="120">
        <v>14.5</v>
      </c>
      <c r="AC306" s="120">
        <v>305</v>
      </c>
      <c r="AD306" s="120">
        <v>1577</v>
      </c>
      <c r="AE306" s="120">
        <v>-9999</v>
      </c>
      <c r="AF306" s="120">
        <v>-9999</v>
      </c>
      <c r="AG306" s="120">
        <v>-9999</v>
      </c>
      <c r="AQ306" s="54">
        <v>4</v>
      </c>
      <c r="AR306" s="54">
        <v>100</v>
      </c>
      <c r="AS306" s="54">
        <v>250</v>
      </c>
      <c r="AT306" s="54" t="e">
        <f>AVERAGEIFS(Compressors!$S:$S,Compressors!$G:$G,AS306,Compressors!$I:$I,AR306,Compressors!$D:$D,AQ306)</f>
        <v>#DIV/0!</v>
      </c>
      <c r="AU306" s="53"/>
    </row>
    <row r="307" spans="1:48" x14ac:dyDescent="0.25">
      <c r="A307" s="120">
        <v>306</v>
      </c>
      <c r="B307" s="120" t="b">
        <v>0</v>
      </c>
      <c r="C307" s="120">
        <v>0</v>
      </c>
      <c r="D307" s="61">
        <v>1</v>
      </c>
      <c r="E307" s="120">
        <v>1</v>
      </c>
      <c r="F307" s="120" t="s">
        <v>176</v>
      </c>
      <c r="G307" s="55">
        <v>100</v>
      </c>
      <c r="H307" s="120">
        <v>473</v>
      </c>
      <c r="I307" s="57">
        <v>100</v>
      </c>
      <c r="J307" s="120">
        <v>110</v>
      </c>
      <c r="K307" s="120">
        <v>1</v>
      </c>
      <c r="L307" s="120">
        <v>50</v>
      </c>
      <c r="M307" s="120">
        <v>15</v>
      </c>
      <c r="N307" s="120">
        <v>40</v>
      </c>
      <c r="O307" s="120">
        <v>2</v>
      </c>
      <c r="P307" s="120">
        <v>5</v>
      </c>
      <c r="Q307" s="120">
        <v>105</v>
      </c>
      <c r="R307" s="120">
        <v>85.400001525878906</v>
      </c>
      <c r="S307" s="148">
        <v>18.100000381469702</v>
      </c>
      <c r="T307" s="120">
        <v>65</v>
      </c>
      <c r="U307" s="120">
        <v>18</v>
      </c>
      <c r="V307" s="120">
        <v>-9999</v>
      </c>
      <c r="W307" s="120">
        <v>-9999</v>
      </c>
      <c r="X307" s="120">
        <v>-9999</v>
      </c>
      <c r="Y307" s="120">
        <v>-9999</v>
      </c>
      <c r="Z307" s="120">
        <v>-9999</v>
      </c>
      <c r="AA307" s="120">
        <v>68</v>
      </c>
      <c r="AB307" s="120">
        <v>14.5</v>
      </c>
      <c r="AC307" s="120">
        <v>306</v>
      </c>
      <c r="AD307" s="120">
        <v>1578</v>
      </c>
      <c r="AE307" s="120">
        <v>-9999</v>
      </c>
      <c r="AF307" s="120">
        <v>-9999</v>
      </c>
      <c r="AG307" s="120">
        <v>-9999</v>
      </c>
      <c r="AQ307" s="54">
        <v>4</v>
      </c>
      <c r="AR307" s="54">
        <v>110</v>
      </c>
      <c r="AS307" s="54">
        <v>250</v>
      </c>
      <c r="AT307" s="54" t="e">
        <f>AVERAGEIFS(Compressors!$S:$S,Compressors!$G:$G,AS307,Compressors!$I:$I,AR307,Compressors!$D:$D,AQ307)</f>
        <v>#DIV/0!</v>
      </c>
      <c r="AU307" s="53"/>
    </row>
    <row r="308" spans="1:48" x14ac:dyDescent="0.25">
      <c r="A308" s="120">
        <v>307</v>
      </c>
      <c r="B308" s="120" t="b">
        <v>0</v>
      </c>
      <c r="C308" s="120">
        <v>0</v>
      </c>
      <c r="D308" s="61">
        <v>1</v>
      </c>
      <c r="E308" s="120">
        <v>1</v>
      </c>
      <c r="F308" s="120" t="s">
        <v>176</v>
      </c>
      <c r="G308" s="55">
        <v>100</v>
      </c>
      <c r="H308" s="120">
        <v>495</v>
      </c>
      <c r="I308" s="57">
        <v>100</v>
      </c>
      <c r="J308" s="120">
        <v>100</v>
      </c>
      <c r="K308" s="120">
        <v>2</v>
      </c>
      <c r="L308" s="120">
        <v>50</v>
      </c>
      <c r="M308" s="120">
        <v>15</v>
      </c>
      <c r="N308" s="120">
        <v>40</v>
      </c>
      <c r="O308" s="120">
        <v>2</v>
      </c>
      <c r="P308" s="120">
        <v>20</v>
      </c>
      <c r="Q308" s="120">
        <v>110</v>
      </c>
      <c r="R308" s="120">
        <v>89.5</v>
      </c>
      <c r="S308" s="148">
        <v>18.100000381469702</v>
      </c>
      <c r="T308" s="120">
        <v>65</v>
      </c>
      <c r="U308" s="120">
        <v>18</v>
      </c>
      <c r="V308" s="120">
        <v>-9999</v>
      </c>
      <c r="W308" s="120">
        <v>-9999</v>
      </c>
      <c r="X308" s="120">
        <v>-9999</v>
      </c>
      <c r="Y308" s="120">
        <v>-9999</v>
      </c>
      <c r="Z308" s="120">
        <v>-9999</v>
      </c>
      <c r="AA308" s="120">
        <v>68</v>
      </c>
      <c r="AB308" s="120">
        <v>14.5</v>
      </c>
      <c r="AC308" s="120">
        <v>307</v>
      </c>
      <c r="AD308" s="120">
        <v>1579</v>
      </c>
      <c r="AE308" s="120">
        <v>-9999</v>
      </c>
      <c r="AF308" s="120">
        <v>-9999</v>
      </c>
      <c r="AG308" s="120">
        <v>-9999</v>
      </c>
      <c r="AQ308" s="54">
        <v>4</v>
      </c>
      <c r="AR308" s="54">
        <v>115</v>
      </c>
      <c r="AS308" s="54">
        <v>250</v>
      </c>
      <c r="AT308" s="54" t="e">
        <f>AVERAGEIFS(Compressors!$S:$S,Compressors!$G:$G,AS308,Compressors!$I:$I,AR308,Compressors!$D:$D,AQ308)</f>
        <v>#DIV/0!</v>
      </c>
      <c r="AU308" s="53"/>
    </row>
    <row r="309" spans="1:48" x14ac:dyDescent="0.25">
      <c r="A309" s="120">
        <v>308</v>
      </c>
      <c r="B309" s="120" t="b">
        <v>0</v>
      </c>
      <c r="C309" s="120">
        <v>0</v>
      </c>
      <c r="D309" s="61">
        <v>1</v>
      </c>
      <c r="E309" s="120">
        <v>1</v>
      </c>
      <c r="F309" s="120" t="s">
        <v>176</v>
      </c>
      <c r="G309" s="55">
        <v>100</v>
      </c>
      <c r="H309" s="120">
        <v>495</v>
      </c>
      <c r="I309" s="57">
        <v>100</v>
      </c>
      <c r="J309" s="120">
        <v>100</v>
      </c>
      <c r="K309" s="120">
        <v>3</v>
      </c>
      <c r="L309" s="120">
        <v>40</v>
      </c>
      <c r="M309" s="120">
        <v>15</v>
      </c>
      <c r="N309" s="120">
        <v>40</v>
      </c>
      <c r="O309" s="120">
        <v>2</v>
      </c>
      <c r="P309" s="120">
        <v>16.666999816894499</v>
      </c>
      <c r="Q309" s="120">
        <v>110</v>
      </c>
      <c r="R309" s="120">
        <v>89.5</v>
      </c>
      <c r="S309" s="148">
        <v>18.100000381469702</v>
      </c>
      <c r="T309" s="120">
        <v>57</v>
      </c>
      <c r="U309" s="120">
        <v>18</v>
      </c>
      <c r="V309" s="120">
        <v>-9999</v>
      </c>
      <c r="W309" s="120">
        <v>-9999</v>
      </c>
      <c r="X309" s="120">
        <v>-9999</v>
      </c>
      <c r="Y309" s="120">
        <v>-9999</v>
      </c>
      <c r="Z309" s="120">
        <v>-9999</v>
      </c>
      <c r="AA309" s="120">
        <v>68</v>
      </c>
      <c r="AB309" s="120">
        <v>14.5</v>
      </c>
      <c r="AC309" s="120">
        <v>308</v>
      </c>
      <c r="AD309" s="120">
        <v>1580</v>
      </c>
      <c r="AE309" s="120">
        <v>-9999</v>
      </c>
      <c r="AF309" s="120">
        <v>-9999</v>
      </c>
      <c r="AG309" s="120">
        <v>-9999</v>
      </c>
      <c r="AQ309" s="54">
        <v>4</v>
      </c>
      <c r="AR309" s="54">
        <v>125</v>
      </c>
      <c r="AS309" s="54">
        <v>250</v>
      </c>
      <c r="AT309" s="54" t="e">
        <f>AVERAGEIFS(Compressors!$S:$S,Compressors!$G:$G,AS309,Compressors!$I:$I,AR309,Compressors!$D:$D,AQ309)</f>
        <v>#DIV/0!</v>
      </c>
      <c r="AU309" s="53"/>
    </row>
    <row r="310" spans="1:48" x14ac:dyDescent="0.25">
      <c r="A310" s="120">
        <v>309</v>
      </c>
      <c r="B310" s="120" t="b">
        <v>0</v>
      </c>
      <c r="C310" s="120">
        <v>0</v>
      </c>
      <c r="D310" s="61">
        <v>1</v>
      </c>
      <c r="E310" s="120">
        <v>1</v>
      </c>
      <c r="F310" s="120" t="s">
        <v>176</v>
      </c>
      <c r="G310" s="55">
        <v>100</v>
      </c>
      <c r="H310" s="120">
        <v>473</v>
      </c>
      <c r="I310" s="57">
        <v>100</v>
      </c>
      <c r="J310" s="120">
        <v>110</v>
      </c>
      <c r="K310" s="120">
        <v>4</v>
      </c>
      <c r="L310" s="120">
        <v>100</v>
      </c>
      <c r="M310" s="120">
        <v>15</v>
      </c>
      <c r="N310" s="120">
        <v>40</v>
      </c>
      <c r="O310" s="120">
        <v>2</v>
      </c>
      <c r="P310" s="120">
        <v>-9999</v>
      </c>
      <c r="Q310" s="120">
        <v>105</v>
      </c>
      <c r="R310" s="120">
        <v>85.400001525878906</v>
      </c>
      <c r="S310" s="148">
        <v>18.100000381469702</v>
      </c>
      <c r="T310" s="120">
        <v>-9999</v>
      </c>
      <c r="U310" s="120">
        <v>18</v>
      </c>
      <c r="V310" s="120">
        <v>-9999</v>
      </c>
      <c r="W310" s="120">
        <v>-9999</v>
      </c>
      <c r="X310" s="120">
        <v>-9999</v>
      </c>
      <c r="Y310" s="120">
        <v>-9999</v>
      </c>
      <c r="Z310" s="120">
        <v>-9999</v>
      </c>
      <c r="AA310" s="120">
        <v>68</v>
      </c>
      <c r="AB310" s="120">
        <v>14.5</v>
      </c>
      <c r="AC310" s="120">
        <v>309</v>
      </c>
      <c r="AD310" s="120">
        <v>1581</v>
      </c>
      <c r="AE310" s="120">
        <v>-9999</v>
      </c>
      <c r="AF310" s="120">
        <v>-9999</v>
      </c>
      <c r="AG310" s="120">
        <v>-9999</v>
      </c>
      <c r="AQ310" s="54">
        <v>5</v>
      </c>
      <c r="AR310" s="54">
        <v>100</v>
      </c>
      <c r="AS310" s="54">
        <v>250</v>
      </c>
      <c r="AT310" s="54">
        <f>AVERAGEIFS(Compressors!$S:$S,Compressors!$G:$G,AS310,Compressors!$I:$I,AR310,Compressors!$D:$D,AQ310)</f>
        <v>14.5</v>
      </c>
      <c r="AU310" s="54">
        <v>14.5</v>
      </c>
    </row>
    <row r="311" spans="1:48" x14ac:dyDescent="0.25">
      <c r="A311" s="120">
        <v>310</v>
      </c>
      <c r="B311" s="120" t="b">
        <v>0</v>
      </c>
      <c r="C311" s="120">
        <v>0</v>
      </c>
      <c r="D311" s="61">
        <v>1</v>
      </c>
      <c r="E311" s="120">
        <v>1</v>
      </c>
      <c r="F311" s="120" t="s">
        <v>176</v>
      </c>
      <c r="G311" s="55">
        <v>100</v>
      </c>
      <c r="H311" s="120">
        <v>473</v>
      </c>
      <c r="I311" s="57">
        <v>100</v>
      </c>
      <c r="J311" s="120">
        <v>110</v>
      </c>
      <c r="K311" s="120">
        <v>11</v>
      </c>
      <c r="L311" s="120">
        <v>60</v>
      </c>
      <c r="M311" s="120">
        <v>15</v>
      </c>
      <c r="N311" s="120">
        <v>40</v>
      </c>
      <c r="O311" s="120">
        <v>2</v>
      </c>
      <c r="P311" s="120">
        <v>25</v>
      </c>
      <c r="Q311" s="120">
        <v>105</v>
      </c>
      <c r="R311" s="120">
        <v>85.400001525878906</v>
      </c>
      <c r="S311" s="148">
        <v>18.100000381469702</v>
      </c>
      <c r="T311" s="120">
        <v>70</v>
      </c>
      <c r="U311" s="120">
        <v>18</v>
      </c>
      <c r="V311" s="120">
        <v>-9999</v>
      </c>
      <c r="W311" s="120">
        <v>-9999</v>
      </c>
      <c r="X311" s="120">
        <v>-9999</v>
      </c>
      <c r="Y311" s="120">
        <v>-9999</v>
      </c>
      <c r="Z311" s="120">
        <v>-9999</v>
      </c>
      <c r="AA311" s="120">
        <v>68</v>
      </c>
      <c r="AB311" s="120">
        <v>14.5</v>
      </c>
      <c r="AC311" s="120">
        <v>310</v>
      </c>
      <c r="AD311" s="120">
        <v>1582</v>
      </c>
      <c r="AE311" s="120">
        <v>-9999</v>
      </c>
      <c r="AF311" s="120">
        <v>-9999</v>
      </c>
      <c r="AG311" s="120">
        <v>-9999</v>
      </c>
      <c r="AQ311" s="54">
        <v>5</v>
      </c>
      <c r="AR311" s="54">
        <v>110</v>
      </c>
      <c r="AS311" s="54">
        <v>250</v>
      </c>
      <c r="AT311" s="54">
        <f>AVERAGEIFS(Compressors!$S:$S,Compressors!$G:$G,AS311,Compressors!$I:$I,AR311,Compressors!$D:$D,AQ311)</f>
        <v>15.1000003814697</v>
      </c>
      <c r="AU311" s="54">
        <v>15.1000003814697</v>
      </c>
    </row>
    <row r="312" spans="1:48" x14ac:dyDescent="0.25">
      <c r="A312" s="120">
        <v>311</v>
      </c>
      <c r="B312" s="120" t="b">
        <v>0</v>
      </c>
      <c r="C312" s="120">
        <v>0</v>
      </c>
      <c r="D312" s="61">
        <v>1</v>
      </c>
      <c r="E312" s="120">
        <v>1</v>
      </c>
      <c r="F312" s="120" t="s">
        <v>176</v>
      </c>
      <c r="G312" s="55">
        <v>100</v>
      </c>
      <c r="H312" s="120">
        <v>467</v>
      </c>
      <c r="I312" s="57">
        <v>110</v>
      </c>
      <c r="J312" s="120">
        <v>120</v>
      </c>
      <c r="K312" s="120">
        <v>1</v>
      </c>
      <c r="L312" s="120">
        <v>50</v>
      </c>
      <c r="M312" s="120">
        <v>15</v>
      </c>
      <c r="N312" s="120">
        <v>40</v>
      </c>
      <c r="O312" s="120">
        <v>2</v>
      </c>
      <c r="P312" s="120">
        <v>5</v>
      </c>
      <c r="Q312" s="120">
        <v>105</v>
      </c>
      <c r="R312" s="120">
        <v>85.400001525878906</v>
      </c>
      <c r="S312" s="148">
        <v>18.299999237060501</v>
      </c>
      <c r="T312" s="120">
        <v>65</v>
      </c>
      <c r="U312" s="120">
        <v>18</v>
      </c>
      <c r="V312" s="120">
        <v>-9999</v>
      </c>
      <c r="W312" s="120">
        <v>-9999</v>
      </c>
      <c r="X312" s="120">
        <v>-9999</v>
      </c>
      <c r="Y312" s="120">
        <v>-9999</v>
      </c>
      <c r="Z312" s="120">
        <v>-9999</v>
      </c>
      <c r="AA312" s="120">
        <v>68</v>
      </c>
      <c r="AB312" s="120">
        <v>14.5</v>
      </c>
      <c r="AC312" s="120">
        <v>311</v>
      </c>
      <c r="AD312" s="120">
        <v>1583</v>
      </c>
      <c r="AE312" s="120">
        <v>-9999</v>
      </c>
      <c r="AF312" s="120">
        <v>-9999</v>
      </c>
      <c r="AG312" s="120">
        <v>-9999</v>
      </c>
      <c r="AQ312" s="54">
        <v>5</v>
      </c>
      <c r="AR312" s="54">
        <v>115</v>
      </c>
      <c r="AS312" s="54">
        <v>250</v>
      </c>
      <c r="AT312" s="54">
        <f>AVERAGEIFS(Compressors!$S:$S,Compressors!$G:$G,AS312,Compressors!$I:$I,AR312,Compressors!$D:$D,AQ312)</f>
        <v>15.3999996185303</v>
      </c>
      <c r="AU312" s="54">
        <v>15.3999996185303</v>
      </c>
    </row>
    <row r="313" spans="1:48" x14ac:dyDescent="0.25">
      <c r="A313" s="120">
        <v>312</v>
      </c>
      <c r="B313" s="120" t="b">
        <v>0</v>
      </c>
      <c r="C313" s="120">
        <v>0</v>
      </c>
      <c r="D313" s="61">
        <v>1</v>
      </c>
      <c r="E313" s="120">
        <v>1</v>
      </c>
      <c r="F313" s="120" t="s">
        <v>176</v>
      </c>
      <c r="G313" s="55">
        <v>100</v>
      </c>
      <c r="H313" s="120">
        <v>489</v>
      </c>
      <c r="I313" s="57">
        <v>110</v>
      </c>
      <c r="J313" s="120">
        <v>110</v>
      </c>
      <c r="K313" s="120">
        <v>2</v>
      </c>
      <c r="L313" s="120">
        <v>50</v>
      </c>
      <c r="M313" s="120">
        <v>15</v>
      </c>
      <c r="N313" s="120">
        <v>40</v>
      </c>
      <c r="O313" s="120">
        <v>2</v>
      </c>
      <c r="P313" s="120">
        <v>20</v>
      </c>
      <c r="Q313" s="120">
        <v>110</v>
      </c>
      <c r="R313" s="120">
        <v>89.5</v>
      </c>
      <c r="S313" s="148">
        <v>18.299999237060501</v>
      </c>
      <c r="T313" s="120">
        <v>65</v>
      </c>
      <c r="U313" s="120">
        <v>18</v>
      </c>
      <c r="V313" s="120">
        <v>-9999</v>
      </c>
      <c r="W313" s="120">
        <v>-9999</v>
      </c>
      <c r="X313" s="120">
        <v>-9999</v>
      </c>
      <c r="Y313" s="120">
        <v>-9999</v>
      </c>
      <c r="Z313" s="120">
        <v>-9999</v>
      </c>
      <c r="AA313" s="120">
        <v>68</v>
      </c>
      <c r="AB313" s="120">
        <v>14.5</v>
      </c>
      <c r="AC313" s="120">
        <v>312</v>
      </c>
      <c r="AD313" s="120">
        <v>1584</v>
      </c>
      <c r="AE313" s="120">
        <v>-9999</v>
      </c>
      <c r="AF313" s="120">
        <v>-9999</v>
      </c>
      <c r="AG313" s="120">
        <v>-9999</v>
      </c>
      <c r="AQ313" s="54">
        <v>5</v>
      </c>
      <c r="AR313" s="54">
        <v>125</v>
      </c>
      <c r="AS313" s="54">
        <v>250</v>
      </c>
      <c r="AT313" s="54">
        <f>AVERAGEIFS(Compressors!$S:$S,Compressors!$G:$G,AS313,Compressors!$I:$I,AR313,Compressors!$D:$D,AQ313)</f>
        <v>16</v>
      </c>
      <c r="AU313" s="54">
        <v>16</v>
      </c>
    </row>
    <row r="314" spans="1:48" x14ac:dyDescent="0.25">
      <c r="A314" s="120">
        <v>313</v>
      </c>
      <c r="B314" s="120" t="b">
        <v>0</v>
      </c>
      <c r="C314" s="120">
        <v>0</v>
      </c>
      <c r="D314" s="61">
        <v>1</v>
      </c>
      <c r="E314" s="120">
        <v>1</v>
      </c>
      <c r="F314" s="120" t="s">
        <v>176</v>
      </c>
      <c r="G314" s="55">
        <v>100</v>
      </c>
      <c r="H314" s="120">
        <v>489</v>
      </c>
      <c r="I314" s="57">
        <v>110</v>
      </c>
      <c r="J314" s="120">
        <v>110</v>
      </c>
      <c r="K314" s="120">
        <v>3</v>
      </c>
      <c r="L314" s="120">
        <v>40</v>
      </c>
      <c r="M314" s="120">
        <v>15</v>
      </c>
      <c r="N314" s="120">
        <v>40</v>
      </c>
      <c r="O314" s="120">
        <v>2</v>
      </c>
      <c r="P314" s="120">
        <v>16.666999816894499</v>
      </c>
      <c r="Q314" s="120">
        <v>110</v>
      </c>
      <c r="R314" s="120">
        <v>89.5</v>
      </c>
      <c r="S314" s="148">
        <v>18.299999237060501</v>
      </c>
      <c r="T314" s="120">
        <v>57</v>
      </c>
      <c r="U314" s="120">
        <v>18</v>
      </c>
      <c r="V314" s="120">
        <v>-9999</v>
      </c>
      <c r="W314" s="120">
        <v>-9999</v>
      </c>
      <c r="X314" s="120">
        <v>-9999</v>
      </c>
      <c r="Y314" s="120">
        <v>-9999</v>
      </c>
      <c r="Z314" s="120">
        <v>-9999</v>
      </c>
      <c r="AA314" s="120">
        <v>68</v>
      </c>
      <c r="AB314" s="120">
        <v>14.5</v>
      </c>
      <c r="AC314" s="120">
        <v>313</v>
      </c>
      <c r="AD314" s="120">
        <v>1585</v>
      </c>
      <c r="AE314" s="120">
        <v>-9999</v>
      </c>
      <c r="AF314" s="120">
        <v>-9999</v>
      </c>
      <c r="AG314" s="120">
        <v>-9999</v>
      </c>
      <c r="AQ314" s="54">
        <v>6</v>
      </c>
      <c r="AR314" s="54">
        <v>100</v>
      </c>
      <c r="AS314" s="54">
        <v>250</v>
      </c>
      <c r="AT314" s="54" t="e">
        <f>AVERAGEIFS(Compressors!$S:$S,Compressors!$G:$G,AS314,Compressors!$I:$I,AR314,Compressors!$D:$D,AQ314)</f>
        <v>#DIV/0!</v>
      </c>
      <c r="AU314" s="53"/>
    </row>
    <row r="315" spans="1:48" x14ac:dyDescent="0.25">
      <c r="A315" s="120">
        <v>314</v>
      </c>
      <c r="B315" s="120" t="b">
        <v>0</v>
      </c>
      <c r="C315" s="120">
        <v>0</v>
      </c>
      <c r="D315" s="61">
        <v>1</v>
      </c>
      <c r="E315" s="120">
        <v>1</v>
      </c>
      <c r="F315" s="120" t="s">
        <v>176</v>
      </c>
      <c r="G315" s="55">
        <v>100</v>
      </c>
      <c r="H315" s="120">
        <v>467</v>
      </c>
      <c r="I315" s="57">
        <v>110</v>
      </c>
      <c r="J315" s="120">
        <v>120</v>
      </c>
      <c r="K315" s="120">
        <v>4</v>
      </c>
      <c r="L315" s="120">
        <v>100</v>
      </c>
      <c r="M315" s="120">
        <v>15</v>
      </c>
      <c r="N315" s="120">
        <v>40</v>
      </c>
      <c r="O315" s="120">
        <v>2</v>
      </c>
      <c r="P315" s="120">
        <v>-9999</v>
      </c>
      <c r="Q315" s="120">
        <v>105</v>
      </c>
      <c r="R315" s="120">
        <v>85.400001525878906</v>
      </c>
      <c r="S315" s="148">
        <v>18.299999237060501</v>
      </c>
      <c r="T315" s="120">
        <v>-9999</v>
      </c>
      <c r="U315" s="120">
        <v>18</v>
      </c>
      <c r="V315" s="120">
        <v>-9999</v>
      </c>
      <c r="W315" s="120">
        <v>-9999</v>
      </c>
      <c r="X315" s="120">
        <v>-9999</v>
      </c>
      <c r="Y315" s="120">
        <v>-9999</v>
      </c>
      <c r="Z315" s="120">
        <v>-9999</v>
      </c>
      <c r="AA315" s="120">
        <v>68</v>
      </c>
      <c r="AB315" s="120">
        <v>14.5</v>
      </c>
      <c r="AC315" s="120">
        <v>314</v>
      </c>
      <c r="AD315" s="120">
        <v>1586</v>
      </c>
      <c r="AE315" s="120">
        <v>-9999</v>
      </c>
      <c r="AF315" s="120">
        <v>-9999</v>
      </c>
      <c r="AG315" s="120">
        <v>-9999</v>
      </c>
      <c r="AQ315" s="54">
        <v>6</v>
      </c>
      <c r="AR315" s="54">
        <v>110</v>
      </c>
      <c r="AS315" s="54">
        <v>250</v>
      </c>
      <c r="AT315" s="54" t="e">
        <f>AVERAGEIFS(Compressors!$S:$S,Compressors!$G:$G,AS315,Compressors!$I:$I,AR315,Compressors!$D:$D,AQ315)</f>
        <v>#DIV/0!</v>
      </c>
      <c r="AU315" s="53"/>
    </row>
    <row r="316" spans="1:48" x14ac:dyDescent="0.25">
      <c r="A316" s="120">
        <v>315</v>
      </c>
      <c r="B316" s="120" t="b">
        <v>0</v>
      </c>
      <c r="C316" s="120">
        <v>0</v>
      </c>
      <c r="D316" s="61">
        <v>1</v>
      </c>
      <c r="E316" s="120">
        <v>1</v>
      </c>
      <c r="F316" s="120" t="s">
        <v>176</v>
      </c>
      <c r="G316" s="55">
        <v>100</v>
      </c>
      <c r="H316" s="120">
        <v>467</v>
      </c>
      <c r="I316" s="57">
        <v>110</v>
      </c>
      <c r="J316" s="120">
        <v>120</v>
      </c>
      <c r="K316" s="120">
        <v>11</v>
      </c>
      <c r="L316" s="120">
        <v>60</v>
      </c>
      <c r="M316" s="120">
        <v>15</v>
      </c>
      <c r="N316" s="120">
        <v>40</v>
      </c>
      <c r="O316" s="120">
        <v>2</v>
      </c>
      <c r="P316" s="120">
        <v>25</v>
      </c>
      <c r="Q316" s="120">
        <v>105</v>
      </c>
      <c r="R316" s="120">
        <v>85.400001525878906</v>
      </c>
      <c r="S316" s="148">
        <v>18.299999237060501</v>
      </c>
      <c r="T316" s="120">
        <v>70</v>
      </c>
      <c r="U316" s="120">
        <v>18</v>
      </c>
      <c r="V316" s="120">
        <v>-9999</v>
      </c>
      <c r="W316" s="120">
        <v>-9999</v>
      </c>
      <c r="X316" s="120">
        <v>-9999</v>
      </c>
      <c r="Y316" s="120">
        <v>-9999</v>
      </c>
      <c r="Z316" s="120">
        <v>-9999</v>
      </c>
      <c r="AA316" s="120">
        <v>68</v>
      </c>
      <c r="AB316" s="120">
        <v>14.5</v>
      </c>
      <c r="AC316" s="120">
        <v>315</v>
      </c>
      <c r="AD316" s="120">
        <v>1587</v>
      </c>
      <c r="AE316" s="120">
        <v>-9999</v>
      </c>
      <c r="AF316" s="120">
        <v>-9999</v>
      </c>
      <c r="AG316" s="120">
        <v>-9999</v>
      </c>
      <c r="AQ316" s="54">
        <v>6</v>
      </c>
      <c r="AR316" s="54">
        <v>115</v>
      </c>
      <c r="AS316" s="54">
        <v>250</v>
      </c>
      <c r="AT316" s="54" t="e">
        <f>AVERAGEIFS(Compressors!$S:$S,Compressors!$G:$G,AS316,Compressors!$I:$I,AR316,Compressors!$D:$D,AQ316)</f>
        <v>#DIV/0!</v>
      </c>
      <c r="AU316" s="53"/>
    </row>
    <row r="317" spans="1:48" x14ac:dyDescent="0.25">
      <c r="A317" s="120">
        <v>316</v>
      </c>
      <c r="B317" s="120" t="b">
        <v>0</v>
      </c>
      <c r="C317" s="120">
        <v>0</v>
      </c>
      <c r="D317" s="61">
        <v>1</v>
      </c>
      <c r="E317" s="120">
        <v>1</v>
      </c>
      <c r="F317" s="120" t="s">
        <v>176</v>
      </c>
      <c r="G317" s="55">
        <v>100</v>
      </c>
      <c r="H317" s="120">
        <v>436</v>
      </c>
      <c r="I317" s="57">
        <v>115</v>
      </c>
      <c r="J317" s="120">
        <v>125</v>
      </c>
      <c r="K317" s="120">
        <v>1</v>
      </c>
      <c r="L317" s="120">
        <v>50</v>
      </c>
      <c r="M317" s="120">
        <v>15</v>
      </c>
      <c r="N317" s="120">
        <v>40</v>
      </c>
      <c r="O317" s="120">
        <v>2</v>
      </c>
      <c r="P317" s="120">
        <v>5</v>
      </c>
      <c r="Q317" s="120">
        <v>105</v>
      </c>
      <c r="R317" s="120">
        <v>85.400001525878906</v>
      </c>
      <c r="S317" s="148">
        <v>19.600000381469702</v>
      </c>
      <c r="T317" s="120">
        <v>65</v>
      </c>
      <c r="U317" s="120">
        <v>17</v>
      </c>
      <c r="V317" s="120">
        <v>-9999</v>
      </c>
      <c r="W317" s="120">
        <v>-9999</v>
      </c>
      <c r="X317" s="120">
        <v>-9999</v>
      </c>
      <c r="Y317" s="120">
        <v>-9999</v>
      </c>
      <c r="Z317" s="120">
        <v>-9999</v>
      </c>
      <c r="AA317" s="120">
        <v>68</v>
      </c>
      <c r="AB317" s="120">
        <v>14.5</v>
      </c>
      <c r="AC317" s="120">
        <v>316</v>
      </c>
      <c r="AD317" s="120">
        <v>1588</v>
      </c>
      <c r="AE317" s="120">
        <v>-9999</v>
      </c>
      <c r="AF317" s="120">
        <v>-9999</v>
      </c>
      <c r="AG317" s="120">
        <v>-9999</v>
      </c>
      <c r="AQ317" s="54">
        <v>6</v>
      </c>
      <c r="AR317" s="54">
        <v>125</v>
      </c>
      <c r="AS317" s="54">
        <v>250</v>
      </c>
      <c r="AT317" s="54" t="e">
        <f>AVERAGEIFS(Compressors!$S:$S,Compressors!$G:$G,AS317,Compressors!$I:$I,AR317,Compressors!$D:$D,AQ317)</f>
        <v>#DIV/0!</v>
      </c>
      <c r="AU317" s="53"/>
    </row>
    <row r="318" spans="1:48" x14ac:dyDescent="0.25">
      <c r="A318" s="120">
        <v>317</v>
      </c>
      <c r="B318" s="120" t="b">
        <v>0</v>
      </c>
      <c r="C318" s="120">
        <v>0</v>
      </c>
      <c r="D318" s="61">
        <v>1</v>
      </c>
      <c r="E318" s="120">
        <v>1</v>
      </c>
      <c r="F318" s="120" t="s">
        <v>176</v>
      </c>
      <c r="G318" s="55">
        <v>100</v>
      </c>
      <c r="H318" s="120">
        <v>457</v>
      </c>
      <c r="I318" s="57">
        <v>115</v>
      </c>
      <c r="J318" s="120">
        <v>115</v>
      </c>
      <c r="K318" s="120">
        <v>2</v>
      </c>
      <c r="L318" s="120">
        <v>50</v>
      </c>
      <c r="M318" s="120">
        <v>15</v>
      </c>
      <c r="N318" s="120">
        <v>40</v>
      </c>
      <c r="O318" s="120">
        <v>2</v>
      </c>
      <c r="P318" s="120">
        <v>20</v>
      </c>
      <c r="Q318" s="120">
        <v>110</v>
      </c>
      <c r="R318" s="120">
        <v>89.5</v>
      </c>
      <c r="S318" s="148">
        <v>19.600000381469702</v>
      </c>
      <c r="T318" s="120">
        <v>65</v>
      </c>
      <c r="U318" s="120">
        <v>17</v>
      </c>
      <c r="V318" s="120">
        <v>-9999</v>
      </c>
      <c r="W318" s="120">
        <v>-9999</v>
      </c>
      <c r="X318" s="120">
        <v>-9999</v>
      </c>
      <c r="Y318" s="120">
        <v>-9999</v>
      </c>
      <c r="Z318" s="120">
        <v>-9999</v>
      </c>
      <c r="AA318" s="120">
        <v>68</v>
      </c>
      <c r="AB318" s="120">
        <v>14.5</v>
      </c>
      <c r="AC318" s="120">
        <v>317</v>
      </c>
      <c r="AD318" s="120">
        <v>1589</v>
      </c>
      <c r="AE318" s="120">
        <v>-9999</v>
      </c>
      <c r="AF318" s="120">
        <v>-9999</v>
      </c>
      <c r="AG318" s="120">
        <v>-9999</v>
      </c>
    </row>
    <row r="319" spans="1:48" x14ac:dyDescent="0.25">
      <c r="A319" s="120">
        <v>318</v>
      </c>
      <c r="B319" s="120" t="b">
        <v>0</v>
      </c>
      <c r="C319" s="120">
        <v>0</v>
      </c>
      <c r="D319" s="61">
        <v>1</v>
      </c>
      <c r="E319" s="120">
        <v>1</v>
      </c>
      <c r="F319" s="120" t="s">
        <v>176</v>
      </c>
      <c r="G319" s="55">
        <v>100</v>
      </c>
      <c r="H319" s="120">
        <v>457</v>
      </c>
      <c r="I319" s="57">
        <v>115</v>
      </c>
      <c r="J319" s="120">
        <v>115</v>
      </c>
      <c r="K319" s="120">
        <v>3</v>
      </c>
      <c r="L319" s="120">
        <v>40</v>
      </c>
      <c r="M319" s="120">
        <v>15</v>
      </c>
      <c r="N319" s="120">
        <v>40</v>
      </c>
      <c r="O319" s="120">
        <v>2</v>
      </c>
      <c r="P319" s="120">
        <v>16.666999816894499</v>
      </c>
      <c r="Q319" s="120">
        <v>110</v>
      </c>
      <c r="R319" s="120">
        <v>89.5</v>
      </c>
      <c r="S319" s="148">
        <v>19.600000381469702</v>
      </c>
      <c r="T319" s="120">
        <v>57</v>
      </c>
      <c r="U319" s="120">
        <v>17</v>
      </c>
      <c r="V319" s="120">
        <v>-9999</v>
      </c>
      <c r="W319" s="120">
        <v>-9999</v>
      </c>
      <c r="X319" s="120">
        <v>-9999</v>
      </c>
      <c r="Y319" s="120">
        <v>-9999</v>
      </c>
      <c r="Z319" s="120">
        <v>-9999</v>
      </c>
      <c r="AA319" s="120">
        <v>68</v>
      </c>
      <c r="AB319" s="120">
        <v>14.5</v>
      </c>
      <c r="AC319" s="120">
        <v>318</v>
      </c>
      <c r="AD319" s="120">
        <v>1590</v>
      </c>
      <c r="AE319" s="120">
        <v>-9999</v>
      </c>
      <c r="AF319" s="120">
        <v>-9999</v>
      </c>
      <c r="AG319" s="120">
        <v>-9999</v>
      </c>
    </row>
    <row r="320" spans="1:48" x14ac:dyDescent="0.25">
      <c r="A320" s="120">
        <v>319</v>
      </c>
      <c r="B320" s="120" t="b">
        <v>0</v>
      </c>
      <c r="C320" s="120">
        <v>0</v>
      </c>
      <c r="D320" s="61">
        <v>1</v>
      </c>
      <c r="E320" s="120">
        <v>1</v>
      </c>
      <c r="F320" s="120" t="s">
        <v>176</v>
      </c>
      <c r="G320" s="55">
        <v>100</v>
      </c>
      <c r="H320" s="120">
        <v>436</v>
      </c>
      <c r="I320" s="57">
        <v>115</v>
      </c>
      <c r="J320" s="120">
        <v>125</v>
      </c>
      <c r="K320" s="120">
        <v>4</v>
      </c>
      <c r="L320" s="120">
        <v>100</v>
      </c>
      <c r="M320" s="120">
        <v>15</v>
      </c>
      <c r="N320" s="120">
        <v>40</v>
      </c>
      <c r="O320" s="120">
        <v>2</v>
      </c>
      <c r="P320" s="120">
        <v>-9999</v>
      </c>
      <c r="Q320" s="120">
        <v>105</v>
      </c>
      <c r="R320" s="120">
        <v>85.400001525878906</v>
      </c>
      <c r="S320" s="148">
        <v>19.600000381469702</v>
      </c>
      <c r="T320" s="120">
        <v>-9999</v>
      </c>
      <c r="U320" s="120">
        <v>17</v>
      </c>
      <c r="V320" s="120">
        <v>-9999</v>
      </c>
      <c r="W320" s="120">
        <v>-9999</v>
      </c>
      <c r="X320" s="120">
        <v>-9999</v>
      </c>
      <c r="Y320" s="120">
        <v>-9999</v>
      </c>
      <c r="Z320" s="120">
        <v>-9999</v>
      </c>
      <c r="AA320" s="120">
        <v>68</v>
      </c>
      <c r="AB320" s="120">
        <v>14.5</v>
      </c>
      <c r="AC320" s="120">
        <v>319</v>
      </c>
      <c r="AD320" s="120">
        <v>1591</v>
      </c>
      <c r="AE320" s="120">
        <v>-9999</v>
      </c>
      <c r="AF320" s="120">
        <v>-9999</v>
      </c>
      <c r="AG320" s="120">
        <v>-9999</v>
      </c>
    </row>
    <row r="321" spans="1:33" x14ac:dyDescent="0.25">
      <c r="A321" s="120">
        <v>320</v>
      </c>
      <c r="B321" s="120" t="b">
        <v>0</v>
      </c>
      <c r="C321" s="120">
        <v>0</v>
      </c>
      <c r="D321" s="61">
        <v>1</v>
      </c>
      <c r="E321" s="120">
        <v>1</v>
      </c>
      <c r="F321" s="120" t="s">
        <v>176</v>
      </c>
      <c r="G321" s="55">
        <v>100</v>
      </c>
      <c r="H321" s="120">
        <v>436</v>
      </c>
      <c r="I321" s="57">
        <v>115</v>
      </c>
      <c r="J321" s="120">
        <v>125</v>
      </c>
      <c r="K321" s="120">
        <v>11</v>
      </c>
      <c r="L321" s="120">
        <v>60</v>
      </c>
      <c r="M321" s="120">
        <v>15</v>
      </c>
      <c r="N321" s="120">
        <v>40</v>
      </c>
      <c r="O321" s="120">
        <v>2</v>
      </c>
      <c r="P321" s="120">
        <v>25</v>
      </c>
      <c r="Q321" s="120">
        <v>105</v>
      </c>
      <c r="R321" s="120">
        <v>85.400001525878906</v>
      </c>
      <c r="S321" s="148">
        <v>19.600000381469702</v>
      </c>
      <c r="T321" s="120">
        <v>70</v>
      </c>
      <c r="U321" s="120">
        <v>17</v>
      </c>
      <c r="V321" s="120">
        <v>-9999</v>
      </c>
      <c r="W321" s="120">
        <v>-9999</v>
      </c>
      <c r="X321" s="120">
        <v>-9999</v>
      </c>
      <c r="Y321" s="120">
        <v>-9999</v>
      </c>
      <c r="Z321" s="120">
        <v>-9999</v>
      </c>
      <c r="AA321" s="120">
        <v>68</v>
      </c>
      <c r="AB321" s="120">
        <v>14.5</v>
      </c>
      <c r="AC321" s="120">
        <v>320</v>
      </c>
      <c r="AD321" s="120">
        <v>1592</v>
      </c>
      <c r="AE321" s="120">
        <v>-9999</v>
      </c>
      <c r="AF321" s="120">
        <v>-9999</v>
      </c>
      <c r="AG321" s="120">
        <v>-9999</v>
      </c>
    </row>
    <row r="322" spans="1:33" x14ac:dyDescent="0.25">
      <c r="A322" s="120">
        <v>321</v>
      </c>
      <c r="B322" s="120" t="b">
        <v>0</v>
      </c>
      <c r="C322" s="120">
        <v>0</v>
      </c>
      <c r="D322" s="61">
        <v>1</v>
      </c>
      <c r="E322" s="120">
        <v>1</v>
      </c>
      <c r="F322" s="120" t="s">
        <v>176</v>
      </c>
      <c r="G322" s="55">
        <v>100</v>
      </c>
      <c r="H322" s="120">
        <v>416</v>
      </c>
      <c r="I322" s="57">
        <v>125</v>
      </c>
      <c r="J322" s="120">
        <v>135</v>
      </c>
      <c r="K322" s="120">
        <v>1</v>
      </c>
      <c r="L322" s="120">
        <v>50</v>
      </c>
      <c r="M322" s="120">
        <v>15</v>
      </c>
      <c r="N322" s="120">
        <v>40</v>
      </c>
      <c r="O322" s="120">
        <v>2</v>
      </c>
      <c r="P322" s="120">
        <v>5</v>
      </c>
      <c r="Q322" s="120">
        <v>105</v>
      </c>
      <c r="R322" s="120">
        <v>85.400001525878906</v>
      </c>
      <c r="S322" s="148">
        <v>20.5</v>
      </c>
      <c r="T322" s="120">
        <v>65</v>
      </c>
      <c r="U322" s="120">
        <v>16</v>
      </c>
      <c r="V322" s="120">
        <v>-9999</v>
      </c>
      <c r="W322" s="120">
        <v>-9999</v>
      </c>
      <c r="X322" s="120">
        <v>-9999</v>
      </c>
      <c r="Y322" s="120">
        <v>-9999</v>
      </c>
      <c r="Z322" s="120">
        <v>-9999</v>
      </c>
      <c r="AA322" s="120">
        <v>68</v>
      </c>
      <c r="AB322" s="120">
        <v>14.5</v>
      </c>
      <c r="AC322" s="120">
        <v>321</v>
      </c>
      <c r="AD322" s="120">
        <v>1593</v>
      </c>
      <c r="AE322" s="120">
        <v>-9999</v>
      </c>
      <c r="AF322" s="120">
        <v>-9999</v>
      </c>
      <c r="AG322" s="120">
        <v>-9999</v>
      </c>
    </row>
    <row r="323" spans="1:33" x14ac:dyDescent="0.25">
      <c r="A323" s="120">
        <v>322</v>
      </c>
      <c r="B323" s="120" t="b">
        <v>0</v>
      </c>
      <c r="C323" s="120">
        <v>0</v>
      </c>
      <c r="D323" s="61">
        <v>1</v>
      </c>
      <c r="E323" s="120">
        <v>1</v>
      </c>
      <c r="F323" s="120" t="s">
        <v>176</v>
      </c>
      <c r="G323" s="55">
        <v>100</v>
      </c>
      <c r="H323" s="120">
        <v>435</v>
      </c>
      <c r="I323" s="57">
        <v>125</v>
      </c>
      <c r="J323" s="120">
        <v>125</v>
      </c>
      <c r="K323" s="120">
        <v>2</v>
      </c>
      <c r="L323" s="120">
        <v>50</v>
      </c>
      <c r="M323" s="120">
        <v>15</v>
      </c>
      <c r="N323" s="120">
        <v>40</v>
      </c>
      <c r="O323" s="120">
        <v>2</v>
      </c>
      <c r="P323" s="120">
        <v>20</v>
      </c>
      <c r="Q323" s="120">
        <v>110</v>
      </c>
      <c r="R323" s="120">
        <v>89.5</v>
      </c>
      <c r="S323" s="148">
        <v>20.5</v>
      </c>
      <c r="T323" s="120">
        <v>65</v>
      </c>
      <c r="U323" s="120">
        <v>16</v>
      </c>
      <c r="V323" s="120">
        <v>-9999</v>
      </c>
      <c r="W323" s="120">
        <v>-9999</v>
      </c>
      <c r="X323" s="120">
        <v>-9999</v>
      </c>
      <c r="Y323" s="120">
        <v>-9999</v>
      </c>
      <c r="Z323" s="120">
        <v>-9999</v>
      </c>
      <c r="AA323" s="120">
        <v>68</v>
      </c>
      <c r="AB323" s="120">
        <v>14.5</v>
      </c>
      <c r="AC323" s="120">
        <v>322</v>
      </c>
      <c r="AD323" s="120">
        <v>1594</v>
      </c>
      <c r="AE323" s="120">
        <v>-9999</v>
      </c>
      <c r="AF323" s="120">
        <v>-9999</v>
      </c>
      <c r="AG323" s="120">
        <v>-9999</v>
      </c>
    </row>
    <row r="324" spans="1:33" x14ac:dyDescent="0.25">
      <c r="A324" s="120">
        <v>323</v>
      </c>
      <c r="B324" s="120" t="b">
        <v>0</v>
      </c>
      <c r="C324" s="120">
        <v>0</v>
      </c>
      <c r="D324" s="61">
        <v>1</v>
      </c>
      <c r="E324" s="120">
        <v>1</v>
      </c>
      <c r="F324" s="120" t="s">
        <v>176</v>
      </c>
      <c r="G324" s="55">
        <v>100</v>
      </c>
      <c r="H324" s="120">
        <v>435</v>
      </c>
      <c r="I324" s="57">
        <v>125</v>
      </c>
      <c r="J324" s="120">
        <v>125</v>
      </c>
      <c r="K324" s="120">
        <v>3</v>
      </c>
      <c r="L324" s="120">
        <v>40</v>
      </c>
      <c r="M324" s="120">
        <v>15</v>
      </c>
      <c r="N324" s="120">
        <v>40</v>
      </c>
      <c r="O324" s="120">
        <v>2</v>
      </c>
      <c r="P324" s="120">
        <v>16.666999816894499</v>
      </c>
      <c r="Q324" s="120">
        <v>110</v>
      </c>
      <c r="R324" s="120">
        <v>89.5</v>
      </c>
      <c r="S324" s="148">
        <v>20.5</v>
      </c>
      <c r="T324" s="120">
        <v>57</v>
      </c>
      <c r="U324" s="120">
        <v>16</v>
      </c>
      <c r="V324" s="120">
        <v>-9999</v>
      </c>
      <c r="W324" s="120">
        <v>-9999</v>
      </c>
      <c r="X324" s="120">
        <v>-9999</v>
      </c>
      <c r="Y324" s="120">
        <v>-9999</v>
      </c>
      <c r="Z324" s="120">
        <v>-9999</v>
      </c>
      <c r="AA324" s="120">
        <v>68</v>
      </c>
      <c r="AB324" s="120">
        <v>14.5</v>
      </c>
      <c r="AC324" s="120">
        <v>323</v>
      </c>
      <c r="AD324" s="120">
        <v>1595</v>
      </c>
      <c r="AE324" s="120">
        <v>-9999</v>
      </c>
      <c r="AF324" s="120">
        <v>-9999</v>
      </c>
      <c r="AG324" s="120">
        <v>-9999</v>
      </c>
    </row>
    <row r="325" spans="1:33" x14ac:dyDescent="0.25">
      <c r="A325" s="120">
        <v>324</v>
      </c>
      <c r="B325" s="120" t="b">
        <v>0</v>
      </c>
      <c r="C325" s="120">
        <v>0</v>
      </c>
      <c r="D325" s="61">
        <v>1</v>
      </c>
      <c r="E325" s="120">
        <v>1</v>
      </c>
      <c r="F325" s="120" t="s">
        <v>176</v>
      </c>
      <c r="G325" s="55">
        <v>100</v>
      </c>
      <c r="H325" s="120">
        <v>416</v>
      </c>
      <c r="I325" s="57">
        <v>125</v>
      </c>
      <c r="J325" s="120">
        <v>135</v>
      </c>
      <c r="K325" s="120">
        <v>4</v>
      </c>
      <c r="L325" s="120">
        <v>100</v>
      </c>
      <c r="M325" s="120">
        <v>15</v>
      </c>
      <c r="N325" s="120">
        <v>40</v>
      </c>
      <c r="O325" s="120">
        <v>2</v>
      </c>
      <c r="P325" s="120">
        <v>-9999</v>
      </c>
      <c r="Q325" s="120">
        <v>105</v>
      </c>
      <c r="R325" s="120">
        <v>85.400001525878906</v>
      </c>
      <c r="S325" s="148">
        <v>20.5</v>
      </c>
      <c r="T325" s="120">
        <v>-9999</v>
      </c>
      <c r="U325" s="120">
        <v>16</v>
      </c>
      <c r="V325" s="120">
        <v>-9999</v>
      </c>
      <c r="W325" s="120">
        <v>-9999</v>
      </c>
      <c r="X325" s="120">
        <v>-9999</v>
      </c>
      <c r="Y325" s="120">
        <v>-9999</v>
      </c>
      <c r="Z325" s="120">
        <v>-9999</v>
      </c>
      <c r="AA325" s="120">
        <v>68</v>
      </c>
      <c r="AB325" s="120">
        <v>14.5</v>
      </c>
      <c r="AC325" s="120">
        <v>324</v>
      </c>
      <c r="AD325" s="120">
        <v>1596</v>
      </c>
      <c r="AE325" s="120">
        <v>-9999</v>
      </c>
      <c r="AF325" s="120">
        <v>-9999</v>
      </c>
      <c r="AG325" s="120">
        <v>-9999</v>
      </c>
    </row>
    <row r="326" spans="1:33" x14ac:dyDescent="0.25">
      <c r="A326" s="120">
        <v>325</v>
      </c>
      <c r="B326" s="120" t="b">
        <v>0</v>
      </c>
      <c r="C326" s="120">
        <v>0</v>
      </c>
      <c r="D326" s="61">
        <v>1</v>
      </c>
      <c r="E326" s="120">
        <v>1</v>
      </c>
      <c r="F326" s="120" t="s">
        <v>176</v>
      </c>
      <c r="G326" s="55">
        <v>100</v>
      </c>
      <c r="H326" s="120">
        <v>416</v>
      </c>
      <c r="I326" s="57">
        <v>125</v>
      </c>
      <c r="J326" s="120">
        <v>135</v>
      </c>
      <c r="K326" s="120">
        <v>11</v>
      </c>
      <c r="L326" s="120">
        <v>60</v>
      </c>
      <c r="M326" s="120">
        <v>15</v>
      </c>
      <c r="N326" s="120">
        <v>40</v>
      </c>
      <c r="O326" s="120">
        <v>2</v>
      </c>
      <c r="P326" s="120">
        <v>25</v>
      </c>
      <c r="Q326" s="120">
        <v>105</v>
      </c>
      <c r="R326" s="120">
        <v>85.400001525878906</v>
      </c>
      <c r="S326" s="148">
        <v>20.5</v>
      </c>
      <c r="T326" s="120">
        <v>70</v>
      </c>
      <c r="U326" s="120">
        <v>16</v>
      </c>
      <c r="V326" s="120">
        <v>-9999</v>
      </c>
      <c r="W326" s="120">
        <v>-9999</v>
      </c>
      <c r="X326" s="120">
        <v>-9999</v>
      </c>
      <c r="Y326" s="120">
        <v>-9999</v>
      </c>
      <c r="Z326" s="120">
        <v>-9999</v>
      </c>
      <c r="AA326" s="120">
        <v>68</v>
      </c>
      <c r="AB326" s="120">
        <v>14.5</v>
      </c>
      <c r="AC326" s="120">
        <v>325</v>
      </c>
      <c r="AD326" s="120">
        <v>1597</v>
      </c>
      <c r="AE326" s="120">
        <v>-9999</v>
      </c>
      <c r="AF326" s="120">
        <v>-9999</v>
      </c>
      <c r="AG326" s="120">
        <v>-9999</v>
      </c>
    </row>
    <row r="327" spans="1:33" x14ac:dyDescent="0.25">
      <c r="A327" s="120">
        <v>326</v>
      </c>
      <c r="B327" s="120" t="b">
        <v>0</v>
      </c>
      <c r="C327" s="120">
        <v>0</v>
      </c>
      <c r="D327" s="61">
        <v>1</v>
      </c>
      <c r="E327" s="120">
        <v>1</v>
      </c>
      <c r="F327" s="120" t="s">
        <v>176</v>
      </c>
      <c r="G327" s="55">
        <v>100</v>
      </c>
      <c r="H327" s="120">
        <v>405</v>
      </c>
      <c r="I327" s="57">
        <v>140</v>
      </c>
      <c r="J327" s="120">
        <v>150</v>
      </c>
      <c r="K327" s="120">
        <v>1</v>
      </c>
      <c r="L327" s="120">
        <v>50</v>
      </c>
      <c r="M327" s="120">
        <v>15</v>
      </c>
      <c r="N327" s="120">
        <v>40</v>
      </c>
      <c r="O327" s="120">
        <v>2</v>
      </c>
      <c r="P327" s="120">
        <v>5</v>
      </c>
      <c r="Q327" s="120">
        <v>105</v>
      </c>
      <c r="R327" s="120">
        <v>85.400001525878906</v>
      </c>
      <c r="S327" s="148">
        <v>21.100000381469702</v>
      </c>
      <c r="T327" s="120">
        <v>65</v>
      </c>
      <c r="U327" s="120">
        <v>15</v>
      </c>
      <c r="V327" s="120">
        <v>-9999</v>
      </c>
      <c r="W327" s="120">
        <v>-9999</v>
      </c>
      <c r="X327" s="120">
        <v>-9999</v>
      </c>
      <c r="Y327" s="120">
        <v>-9999</v>
      </c>
      <c r="Z327" s="120">
        <v>-9999</v>
      </c>
      <c r="AA327" s="120">
        <v>68</v>
      </c>
      <c r="AB327" s="120">
        <v>14.5</v>
      </c>
      <c r="AC327" s="120">
        <v>326</v>
      </c>
      <c r="AD327" s="120">
        <v>1598</v>
      </c>
      <c r="AE327" s="120">
        <v>-9999</v>
      </c>
      <c r="AF327" s="120">
        <v>-9999</v>
      </c>
      <c r="AG327" s="120">
        <v>-9999</v>
      </c>
    </row>
    <row r="328" spans="1:33" x14ac:dyDescent="0.25">
      <c r="A328" s="120">
        <v>327</v>
      </c>
      <c r="B328" s="120" t="b">
        <v>0</v>
      </c>
      <c r="C328" s="120">
        <v>0</v>
      </c>
      <c r="D328" s="61">
        <v>1</v>
      </c>
      <c r="E328" s="120">
        <v>1</v>
      </c>
      <c r="F328" s="120" t="s">
        <v>176</v>
      </c>
      <c r="G328" s="55">
        <v>100</v>
      </c>
      <c r="H328" s="120">
        <v>424</v>
      </c>
      <c r="I328" s="57">
        <v>140</v>
      </c>
      <c r="J328" s="120">
        <v>140</v>
      </c>
      <c r="K328" s="120">
        <v>2</v>
      </c>
      <c r="L328" s="120">
        <v>50</v>
      </c>
      <c r="M328" s="120">
        <v>15</v>
      </c>
      <c r="N328" s="120">
        <v>40</v>
      </c>
      <c r="O328" s="120">
        <v>2</v>
      </c>
      <c r="P328" s="120">
        <v>20</v>
      </c>
      <c r="Q328" s="120">
        <v>110</v>
      </c>
      <c r="R328" s="120">
        <v>89.5</v>
      </c>
      <c r="S328" s="148">
        <v>21.100000381469702</v>
      </c>
      <c r="T328" s="120">
        <v>65</v>
      </c>
      <c r="U328" s="120">
        <v>15</v>
      </c>
      <c r="V328" s="120">
        <v>-9999</v>
      </c>
      <c r="W328" s="120">
        <v>-9999</v>
      </c>
      <c r="X328" s="120">
        <v>-9999</v>
      </c>
      <c r="Y328" s="120">
        <v>-9999</v>
      </c>
      <c r="Z328" s="120">
        <v>-9999</v>
      </c>
      <c r="AA328" s="120">
        <v>68</v>
      </c>
      <c r="AB328" s="120">
        <v>14.5</v>
      </c>
      <c r="AC328" s="120">
        <v>327</v>
      </c>
      <c r="AD328" s="120">
        <v>1599</v>
      </c>
      <c r="AE328" s="120">
        <v>-9999</v>
      </c>
      <c r="AF328" s="120">
        <v>-9999</v>
      </c>
      <c r="AG328" s="120">
        <v>-9999</v>
      </c>
    </row>
    <row r="329" spans="1:33" x14ac:dyDescent="0.25">
      <c r="A329" s="120">
        <v>328</v>
      </c>
      <c r="B329" s="120" t="b">
        <v>0</v>
      </c>
      <c r="C329" s="120">
        <v>0</v>
      </c>
      <c r="D329" s="61">
        <v>1</v>
      </c>
      <c r="E329" s="120">
        <v>1</v>
      </c>
      <c r="F329" s="120" t="s">
        <v>176</v>
      </c>
      <c r="G329" s="55">
        <v>100</v>
      </c>
      <c r="H329" s="120">
        <v>424</v>
      </c>
      <c r="I329" s="57">
        <v>140</v>
      </c>
      <c r="J329" s="120">
        <v>140</v>
      </c>
      <c r="K329" s="120">
        <v>3</v>
      </c>
      <c r="L329" s="120">
        <v>40</v>
      </c>
      <c r="M329" s="120">
        <v>15</v>
      </c>
      <c r="N329" s="120">
        <v>40</v>
      </c>
      <c r="O329" s="120">
        <v>2</v>
      </c>
      <c r="P329" s="120">
        <v>16.666999816894499</v>
      </c>
      <c r="Q329" s="120">
        <v>110</v>
      </c>
      <c r="R329" s="120">
        <v>89.5</v>
      </c>
      <c r="S329" s="148">
        <v>21.100000381469702</v>
      </c>
      <c r="T329" s="120">
        <v>57</v>
      </c>
      <c r="U329" s="120">
        <v>15</v>
      </c>
      <c r="V329" s="120">
        <v>-9999</v>
      </c>
      <c r="W329" s="120">
        <v>-9999</v>
      </c>
      <c r="X329" s="120">
        <v>-9999</v>
      </c>
      <c r="Y329" s="120">
        <v>-9999</v>
      </c>
      <c r="Z329" s="120">
        <v>-9999</v>
      </c>
      <c r="AA329" s="120">
        <v>68</v>
      </c>
      <c r="AB329" s="120">
        <v>14.5</v>
      </c>
      <c r="AC329" s="120">
        <v>328</v>
      </c>
      <c r="AD329" s="120">
        <v>1600</v>
      </c>
      <c r="AE329" s="120">
        <v>-9999</v>
      </c>
      <c r="AF329" s="120">
        <v>-9999</v>
      </c>
      <c r="AG329" s="120">
        <v>-9999</v>
      </c>
    </row>
    <row r="330" spans="1:33" x14ac:dyDescent="0.25">
      <c r="A330" s="120">
        <v>329</v>
      </c>
      <c r="B330" s="120" t="b">
        <v>0</v>
      </c>
      <c r="C330" s="120">
        <v>0</v>
      </c>
      <c r="D330" s="61">
        <v>1</v>
      </c>
      <c r="E330" s="120">
        <v>1</v>
      </c>
      <c r="F330" s="120" t="s">
        <v>176</v>
      </c>
      <c r="G330" s="55">
        <v>100</v>
      </c>
      <c r="H330" s="120">
        <v>405</v>
      </c>
      <c r="I330" s="57">
        <v>140</v>
      </c>
      <c r="J330" s="120">
        <v>150</v>
      </c>
      <c r="K330" s="120">
        <v>4</v>
      </c>
      <c r="L330" s="120">
        <v>100</v>
      </c>
      <c r="M330" s="120">
        <v>15</v>
      </c>
      <c r="N330" s="120">
        <v>40</v>
      </c>
      <c r="O330" s="120">
        <v>2</v>
      </c>
      <c r="P330" s="120">
        <v>-9999</v>
      </c>
      <c r="Q330" s="120">
        <v>105</v>
      </c>
      <c r="R330" s="120">
        <v>85.400001525878906</v>
      </c>
      <c r="S330" s="148">
        <v>21.100000381469702</v>
      </c>
      <c r="T330" s="120">
        <v>-9999</v>
      </c>
      <c r="U330" s="120">
        <v>15</v>
      </c>
      <c r="V330" s="120">
        <v>-9999</v>
      </c>
      <c r="W330" s="120">
        <v>-9999</v>
      </c>
      <c r="X330" s="120">
        <v>-9999</v>
      </c>
      <c r="Y330" s="120">
        <v>-9999</v>
      </c>
      <c r="Z330" s="120">
        <v>-9999</v>
      </c>
      <c r="AA330" s="120">
        <v>68</v>
      </c>
      <c r="AB330" s="120">
        <v>14.5</v>
      </c>
      <c r="AC330" s="120">
        <v>329</v>
      </c>
      <c r="AD330" s="120">
        <v>1601</v>
      </c>
      <c r="AE330" s="120">
        <v>-9999</v>
      </c>
      <c r="AF330" s="120">
        <v>-9999</v>
      </c>
      <c r="AG330" s="120">
        <v>-9999</v>
      </c>
    </row>
    <row r="331" spans="1:33" x14ac:dyDescent="0.25">
      <c r="A331" s="120">
        <v>330</v>
      </c>
      <c r="B331" s="120" t="b">
        <v>0</v>
      </c>
      <c r="C331" s="120">
        <v>0</v>
      </c>
      <c r="D331" s="61">
        <v>1</v>
      </c>
      <c r="E331" s="120">
        <v>1</v>
      </c>
      <c r="F331" s="120" t="s">
        <v>176</v>
      </c>
      <c r="G331" s="55">
        <v>100</v>
      </c>
      <c r="H331" s="120">
        <v>405</v>
      </c>
      <c r="I331" s="57">
        <v>140</v>
      </c>
      <c r="J331" s="120">
        <v>150</v>
      </c>
      <c r="K331" s="120">
        <v>11</v>
      </c>
      <c r="L331" s="120">
        <v>60</v>
      </c>
      <c r="M331" s="120">
        <v>15</v>
      </c>
      <c r="N331" s="120">
        <v>40</v>
      </c>
      <c r="O331" s="120">
        <v>2</v>
      </c>
      <c r="P331" s="120">
        <v>25</v>
      </c>
      <c r="Q331" s="120">
        <v>105</v>
      </c>
      <c r="R331" s="120">
        <v>85.400001525878906</v>
      </c>
      <c r="S331" s="148">
        <v>21.100000381469702</v>
      </c>
      <c r="T331" s="120">
        <v>70</v>
      </c>
      <c r="U331" s="120">
        <v>15</v>
      </c>
      <c r="V331" s="120">
        <v>-9999</v>
      </c>
      <c r="W331" s="120">
        <v>-9999</v>
      </c>
      <c r="X331" s="120">
        <v>-9999</v>
      </c>
      <c r="Y331" s="120">
        <v>-9999</v>
      </c>
      <c r="Z331" s="120">
        <v>-9999</v>
      </c>
      <c r="AA331" s="120">
        <v>68</v>
      </c>
      <c r="AB331" s="120">
        <v>14.5</v>
      </c>
      <c r="AC331" s="120">
        <v>330</v>
      </c>
      <c r="AD331" s="120">
        <v>1602</v>
      </c>
      <c r="AE331" s="120">
        <v>-9999</v>
      </c>
      <c r="AF331" s="120">
        <v>-9999</v>
      </c>
      <c r="AG331" s="120">
        <v>-9999</v>
      </c>
    </row>
    <row r="332" spans="1:33" x14ac:dyDescent="0.25">
      <c r="A332" s="120">
        <v>331</v>
      </c>
      <c r="B332" s="120" t="b">
        <v>0</v>
      </c>
      <c r="C332" s="120">
        <v>0</v>
      </c>
      <c r="D332" s="61">
        <v>1</v>
      </c>
      <c r="E332" s="120">
        <v>1</v>
      </c>
      <c r="F332" s="120" t="s">
        <v>176</v>
      </c>
      <c r="G332" s="55">
        <v>100</v>
      </c>
      <c r="H332" s="120">
        <v>360</v>
      </c>
      <c r="I332" s="57">
        <v>150</v>
      </c>
      <c r="J332" s="120">
        <v>160</v>
      </c>
      <c r="K332" s="120">
        <v>1</v>
      </c>
      <c r="L332" s="120">
        <v>50</v>
      </c>
      <c r="M332" s="120">
        <v>15</v>
      </c>
      <c r="N332" s="120">
        <v>40</v>
      </c>
      <c r="O332" s="120">
        <v>2</v>
      </c>
      <c r="P332" s="120">
        <v>5</v>
      </c>
      <c r="Q332" s="120">
        <v>105</v>
      </c>
      <c r="R332" s="120">
        <v>85.400001525878906</v>
      </c>
      <c r="S332" s="148">
        <v>23.700000762939499</v>
      </c>
      <c r="T332" s="120">
        <v>65</v>
      </c>
      <c r="U332" s="120">
        <v>14</v>
      </c>
      <c r="V332" s="120">
        <v>-9999</v>
      </c>
      <c r="W332" s="120">
        <v>-9999</v>
      </c>
      <c r="X332" s="120">
        <v>-9999</v>
      </c>
      <c r="Y332" s="120">
        <v>-9999</v>
      </c>
      <c r="Z332" s="120">
        <v>-9999</v>
      </c>
      <c r="AA332" s="120">
        <v>68</v>
      </c>
      <c r="AB332" s="120">
        <v>14.5</v>
      </c>
      <c r="AC332" s="120">
        <v>331</v>
      </c>
      <c r="AD332" s="120">
        <v>1603</v>
      </c>
      <c r="AE332" s="120">
        <v>-9999</v>
      </c>
      <c r="AF332" s="120">
        <v>-9999</v>
      </c>
      <c r="AG332" s="120">
        <v>-9999</v>
      </c>
    </row>
    <row r="333" spans="1:33" x14ac:dyDescent="0.25">
      <c r="A333" s="120">
        <v>332</v>
      </c>
      <c r="B333" s="120" t="b">
        <v>0</v>
      </c>
      <c r="C333" s="120">
        <v>0</v>
      </c>
      <c r="D333" s="61">
        <v>1</v>
      </c>
      <c r="E333" s="120">
        <v>1</v>
      </c>
      <c r="F333" s="120" t="s">
        <v>176</v>
      </c>
      <c r="G333" s="55">
        <v>100</v>
      </c>
      <c r="H333" s="120">
        <v>377</v>
      </c>
      <c r="I333" s="57">
        <v>150</v>
      </c>
      <c r="J333" s="120">
        <v>150</v>
      </c>
      <c r="K333" s="120">
        <v>2</v>
      </c>
      <c r="L333" s="120">
        <v>50</v>
      </c>
      <c r="M333" s="120">
        <v>15</v>
      </c>
      <c r="N333" s="120">
        <v>40</v>
      </c>
      <c r="O333" s="120">
        <v>2</v>
      </c>
      <c r="P333" s="120">
        <v>20</v>
      </c>
      <c r="Q333" s="120">
        <v>110</v>
      </c>
      <c r="R333" s="120">
        <v>89.5</v>
      </c>
      <c r="S333" s="148">
        <v>23.700000762939499</v>
      </c>
      <c r="T333" s="120">
        <v>65</v>
      </c>
      <c r="U333" s="120">
        <v>14</v>
      </c>
      <c r="V333" s="120">
        <v>-9999</v>
      </c>
      <c r="W333" s="120">
        <v>-9999</v>
      </c>
      <c r="X333" s="120">
        <v>-9999</v>
      </c>
      <c r="Y333" s="120">
        <v>-9999</v>
      </c>
      <c r="Z333" s="120">
        <v>-9999</v>
      </c>
      <c r="AA333" s="120">
        <v>68</v>
      </c>
      <c r="AB333" s="120">
        <v>14.5</v>
      </c>
      <c r="AC333" s="120">
        <v>332</v>
      </c>
      <c r="AD333" s="120">
        <v>1604</v>
      </c>
      <c r="AE333" s="120">
        <v>-9999</v>
      </c>
      <c r="AF333" s="120">
        <v>-9999</v>
      </c>
      <c r="AG333" s="120">
        <v>-9999</v>
      </c>
    </row>
    <row r="334" spans="1:33" x14ac:dyDescent="0.25">
      <c r="A334" s="120">
        <v>333</v>
      </c>
      <c r="B334" s="120" t="b">
        <v>0</v>
      </c>
      <c r="C334" s="120">
        <v>0</v>
      </c>
      <c r="D334" s="61">
        <v>1</v>
      </c>
      <c r="E334" s="120">
        <v>1</v>
      </c>
      <c r="F334" s="120" t="s">
        <v>176</v>
      </c>
      <c r="G334" s="55">
        <v>100</v>
      </c>
      <c r="H334" s="120">
        <v>377</v>
      </c>
      <c r="I334" s="57">
        <v>150</v>
      </c>
      <c r="J334" s="120">
        <v>150</v>
      </c>
      <c r="K334" s="120">
        <v>3</v>
      </c>
      <c r="L334" s="120">
        <v>40</v>
      </c>
      <c r="M334" s="120">
        <v>15</v>
      </c>
      <c r="N334" s="120">
        <v>40</v>
      </c>
      <c r="O334" s="120">
        <v>2</v>
      </c>
      <c r="P334" s="120">
        <v>16.666999816894499</v>
      </c>
      <c r="Q334" s="120">
        <v>110</v>
      </c>
      <c r="R334" s="120">
        <v>89.5</v>
      </c>
      <c r="S334" s="148">
        <v>23.700000762939499</v>
      </c>
      <c r="T334" s="120">
        <v>57</v>
      </c>
      <c r="U334" s="120">
        <v>14</v>
      </c>
      <c r="V334" s="120">
        <v>-9999</v>
      </c>
      <c r="W334" s="120">
        <v>-9999</v>
      </c>
      <c r="X334" s="120">
        <v>-9999</v>
      </c>
      <c r="Y334" s="120">
        <v>-9999</v>
      </c>
      <c r="Z334" s="120">
        <v>-9999</v>
      </c>
      <c r="AA334" s="120">
        <v>68</v>
      </c>
      <c r="AB334" s="120">
        <v>14.5</v>
      </c>
      <c r="AC334" s="120">
        <v>333</v>
      </c>
      <c r="AD334" s="120">
        <v>1605</v>
      </c>
      <c r="AE334" s="120">
        <v>-9999</v>
      </c>
      <c r="AF334" s="120">
        <v>-9999</v>
      </c>
      <c r="AG334" s="120">
        <v>-9999</v>
      </c>
    </row>
    <row r="335" spans="1:33" x14ac:dyDescent="0.25">
      <c r="A335" s="120">
        <v>334</v>
      </c>
      <c r="B335" s="120" t="b">
        <v>0</v>
      </c>
      <c r="C335" s="120">
        <v>0</v>
      </c>
      <c r="D335" s="61">
        <v>1</v>
      </c>
      <c r="E335" s="120">
        <v>1</v>
      </c>
      <c r="F335" s="120" t="s">
        <v>176</v>
      </c>
      <c r="G335" s="55">
        <v>100</v>
      </c>
      <c r="H335" s="120">
        <v>360</v>
      </c>
      <c r="I335" s="57">
        <v>150</v>
      </c>
      <c r="J335" s="120">
        <v>160</v>
      </c>
      <c r="K335" s="120">
        <v>4</v>
      </c>
      <c r="L335" s="120">
        <v>100</v>
      </c>
      <c r="M335" s="120">
        <v>15</v>
      </c>
      <c r="N335" s="120">
        <v>40</v>
      </c>
      <c r="O335" s="120">
        <v>2</v>
      </c>
      <c r="P335" s="120">
        <v>-9999</v>
      </c>
      <c r="Q335" s="120">
        <v>105</v>
      </c>
      <c r="R335" s="120">
        <v>85.400001525878906</v>
      </c>
      <c r="S335" s="148">
        <v>23.700000762939499</v>
      </c>
      <c r="T335" s="120">
        <v>-9999</v>
      </c>
      <c r="U335" s="120">
        <v>14</v>
      </c>
      <c r="V335" s="120">
        <v>-9999</v>
      </c>
      <c r="W335" s="120">
        <v>-9999</v>
      </c>
      <c r="X335" s="120">
        <v>-9999</v>
      </c>
      <c r="Y335" s="120">
        <v>-9999</v>
      </c>
      <c r="Z335" s="120">
        <v>-9999</v>
      </c>
      <c r="AA335" s="120">
        <v>68</v>
      </c>
      <c r="AB335" s="120">
        <v>14.5</v>
      </c>
      <c r="AC335" s="120">
        <v>334</v>
      </c>
      <c r="AD335" s="120">
        <v>1606</v>
      </c>
      <c r="AE335" s="120">
        <v>-9999</v>
      </c>
      <c r="AF335" s="120">
        <v>-9999</v>
      </c>
      <c r="AG335" s="120">
        <v>-9999</v>
      </c>
    </row>
    <row r="336" spans="1:33" x14ac:dyDescent="0.25">
      <c r="A336" s="120">
        <v>335</v>
      </c>
      <c r="B336" s="120" t="b">
        <v>0</v>
      </c>
      <c r="C336" s="120">
        <v>0</v>
      </c>
      <c r="D336" s="61">
        <v>1</v>
      </c>
      <c r="E336" s="120">
        <v>1</v>
      </c>
      <c r="F336" s="120" t="s">
        <v>176</v>
      </c>
      <c r="G336" s="55">
        <v>100</v>
      </c>
      <c r="H336" s="120">
        <v>360</v>
      </c>
      <c r="I336" s="57">
        <v>150</v>
      </c>
      <c r="J336" s="120">
        <v>160</v>
      </c>
      <c r="K336" s="120">
        <v>11</v>
      </c>
      <c r="L336" s="120">
        <v>60</v>
      </c>
      <c r="M336" s="120">
        <v>15</v>
      </c>
      <c r="N336" s="120">
        <v>40</v>
      </c>
      <c r="O336" s="120">
        <v>2</v>
      </c>
      <c r="P336" s="120">
        <v>25</v>
      </c>
      <c r="Q336" s="120">
        <v>105</v>
      </c>
      <c r="R336" s="120">
        <v>85.400001525878906</v>
      </c>
      <c r="S336" s="148">
        <v>23.700000762939499</v>
      </c>
      <c r="T336" s="120">
        <v>70</v>
      </c>
      <c r="U336" s="120">
        <v>14</v>
      </c>
      <c r="V336" s="120">
        <v>-9999</v>
      </c>
      <c r="W336" s="120">
        <v>-9999</v>
      </c>
      <c r="X336" s="120">
        <v>-9999</v>
      </c>
      <c r="Y336" s="120">
        <v>-9999</v>
      </c>
      <c r="Z336" s="120">
        <v>-9999</v>
      </c>
      <c r="AA336" s="120">
        <v>68</v>
      </c>
      <c r="AB336" s="120">
        <v>14.5</v>
      </c>
      <c r="AC336" s="120">
        <v>335</v>
      </c>
      <c r="AD336" s="120">
        <v>1607</v>
      </c>
      <c r="AE336" s="120">
        <v>-9999</v>
      </c>
      <c r="AF336" s="120">
        <v>-9999</v>
      </c>
      <c r="AG336" s="120">
        <v>-9999</v>
      </c>
    </row>
    <row r="337" spans="1:33" x14ac:dyDescent="0.25">
      <c r="A337" s="120">
        <v>336</v>
      </c>
      <c r="B337" s="120" t="b">
        <v>0</v>
      </c>
      <c r="C337" s="120">
        <v>0</v>
      </c>
      <c r="D337" s="61">
        <v>1</v>
      </c>
      <c r="E337" s="120">
        <v>1</v>
      </c>
      <c r="F337" s="120" t="s">
        <v>176</v>
      </c>
      <c r="G337" s="55">
        <v>100</v>
      </c>
      <c r="H337" s="120">
        <v>342</v>
      </c>
      <c r="I337" s="57">
        <v>165</v>
      </c>
      <c r="J337" s="120">
        <v>175</v>
      </c>
      <c r="K337" s="120">
        <v>1</v>
      </c>
      <c r="L337" s="120">
        <v>50</v>
      </c>
      <c r="M337" s="120">
        <v>15</v>
      </c>
      <c r="N337" s="120">
        <v>40</v>
      </c>
      <c r="O337" s="120">
        <v>2</v>
      </c>
      <c r="P337" s="120">
        <v>5</v>
      </c>
      <c r="Q337" s="120">
        <v>105</v>
      </c>
      <c r="R337" s="120">
        <v>85.400001525878906</v>
      </c>
      <c r="S337" s="148">
        <v>25</v>
      </c>
      <c r="T337" s="120">
        <v>65</v>
      </c>
      <c r="U337" s="120">
        <v>16</v>
      </c>
      <c r="V337" s="120">
        <v>-9999</v>
      </c>
      <c r="W337" s="120">
        <v>-9999</v>
      </c>
      <c r="X337" s="120">
        <v>-9999</v>
      </c>
      <c r="Y337" s="120">
        <v>-9999</v>
      </c>
      <c r="Z337" s="120">
        <v>-9999</v>
      </c>
      <c r="AA337" s="120">
        <v>68</v>
      </c>
      <c r="AB337" s="120">
        <v>14.5</v>
      </c>
      <c r="AC337" s="120">
        <v>336</v>
      </c>
      <c r="AD337" s="120">
        <v>1608</v>
      </c>
      <c r="AE337" s="120">
        <v>-9999</v>
      </c>
      <c r="AF337" s="120">
        <v>-9999</v>
      </c>
      <c r="AG337" s="120">
        <v>-9999</v>
      </c>
    </row>
    <row r="338" spans="1:33" x14ac:dyDescent="0.25">
      <c r="A338" s="120">
        <v>337</v>
      </c>
      <c r="B338" s="120" t="b">
        <v>0</v>
      </c>
      <c r="C338" s="120">
        <v>0</v>
      </c>
      <c r="D338" s="61">
        <v>1</v>
      </c>
      <c r="E338" s="120">
        <v>1</v>
      </c>
      <c r="F338" s="120" t="s">
        <v>176</v>
      </c>
      <c r="G338" s="55">
        <v>100</v>
      </c>
      <c r="H338" s="120">
        <v>358</v>
      </c>
      <c r="I338" s="57">
        <v>165</v>
      </c>
      <c r="J338" s="120">
        <v>165</v>
      </c>
      <c r="K338" s="120">
        <v>2</v>
      </c>
      <c r="L338" s="120">
        <v>50</v>
      </c>
      <c r="M338" s="120">
        <v>15</v>
      </c>
      <c r="N338" s="120">
        <v>40</v>
      </c>
      <c r="O338" s="120">
        <v>2</v>
      </c>
      <c r="P338" s="120">
        <v>20</v>
      </c>
      <c r="Q338" s="120">
        <v>110</v>
      </c>
      <c r="R338" s="120">
        <v>89.5</v>
      </c>
      <c r="S338" s="148">
        <v>25</v>
      </c>
      <c r="T338" s="120">
        <v>65</v>
      </c>
      <c r="U338" s="120">
        <v>16</v>
      </c>
      <c r="V338" s="120">
        <v>-9999</v>
      </c>
      <c r="W338" s="120">
        <v>-9999</v>
      </c>
      <c r="X338" s="120">
        <v>-9999</v>
      </c>
      <c r="Y338" s="120">
        <v>-9999</v>
      </c>
      <c r="Z338" s="120">
        <v>-9999</v>
      </c>
      <c r="AA338" s="120">
        <v>68</v>
      </c>
      <c r="AB338" s="120">
        <v>14.5</v>
      </c>
      <c r="AC338" s="120">
        <v>337</v>
      </c>
      <c r="AD338" s="120">
        <v>1609</v>
      </c>
      <c r="AE338" s="120">
        <v>-9999</v>
      </c>
      <c r="AF338" s="120">
        <v>-9999</v>
      </c>
      <c r="AG338" s="120">
        <v>-9999</v>
      </c>
    </row>
    <row r="339" spans="1:33" x14ac:dyDescent="0.25">
      <c r="A339" s="120">
        <v>338</v>
      </c>
      <c r="B339" s="120" t="b">
        <v>0</v>
      </c>
      <c r="C339" s="120">
        <v>0</v>
      </c>
      <c r="D339" s="61">
        <v>1</v>
      </c>
      <c r="E339" s="120">
        <v>1</v>
      </c>
      <c r="F339" s="120" t="s">
        <v>176</v>
      </c>
      <c r="G339" s="55">
        <v>100</v>
      </c>
      <c r="H339" s="120">
        <v>358</v>
      </c>
      <c r="I339" s="57">
        <v>165</v>
      </c>
      <c r="J339" s="120">
        <v>165</v>
      </c>
      <c r="K339" s="120">
        <v>3</v>
      </c>
      <c r="L339" s="120">
        <v>40</v>
      </c>
      <c r="M339" s="120">
        <v>15</v>
      </c>
      <c r="N339" s="120">
        <v>40</v>
      </c>
      <c r="O339" s="120">
        <v>2</v>
      </c>
      <c r="P339" s="120">
        <v>16.666999816894499</v>
      </c>
      <c r="Q339" s="120">
        <v>110</v>
      </c>
      <c r="R339" s="120">
        <v>89.5</v>
      </c>
      <c r="S339" s="148">
        <v>25</v>
      </c>
      <c r="T339" s="120">
        <v>57</v>
      </c>
      <c r="U339" s="120">
        <v>16</v>
      </c>
      <c r="V339" s="120">
        <v>-9999</v>
      </c>
      <c r="W339" s="120">
        <v>-9999</v>
      </c>
      <c r="X339" s="120">
        <v>-9999</v>
      </c>
      <c r="Y339" s="120">
        <v>-9999</v>
      </c>
      <c r="Z339" s="120">
        <v>-9999</v>
      </c>
      <c r="AA339" s="120">
        <v>68</v>
      </c>
      <c r="AB339" s="120">
        <v>14.5</v>
      </c>
      <c r="AC339" s="120">
        <v>338</v>
      </c>
      <c r="AD339" s="120">
        <v>1610</v>
      </c>
      <c r="AE339" s="120">
        <v>-9999</v>
      </c>
      <c r="AF339" s="120">
        <v>-9999</v>
      </c>
      <c r="AG339" s="120">
        <v>-9999</v>
      </c>
    </row>
    <row r="340" spans="1:33" x14ac:dyDescent="0.25">
      <c r="A340" s="120">
        <v>339</v>
      </c>
      <c r="B340" s="120" t="b">
        <v>0</v>
      </c>
      <c r="C340" s="120">
        <v>0</v>
      </c>
      <c r="D340" s="61">
        <v>1</v>
      </c>
      <c r="E340" s="120">
        <v>1</v>
      </c>
      <c r="F340" s="120" t="s">
        <v>176</v>
      </c>
      <c r="G340" s="55">
        <v>100</v>
      </c>
      <c r="H340" s="120">
        <v>342</v>
      </c>
      <c r="I340" s="57">
        <v>165</v>
      </c>
      <c r="J340" s="120">
        <v>175</v>
      </c>
      <c r="K340" s="120">
        <v>4</v>
      </c>
      <c r="L340" s="120">
        <v>100</v>
      </c>
      <c r="M340" s="120">
        <v>15</v>
      </c>
      <c r="N340" s="120">
        <v>40</v>
      </c>
      <c r="O340" s="120">
        <v>2</v>
      </c>
      <c r="P340" s="120">
        <v>-9999</v>
      </c>
      <c r="Q340" s="120">
        <v>105</v>
      </c>
      <c r="R340" s="120">
        <v>85.400001525878906</v>
      </c>
      <c r="S340" s="148">
        <v>25</v>
      </c>
      <c r="T340" s="120">
        <v>-9999</v>
      </c>
      <c r="U340" s="120">
        <v>16</v>
      </c>
      <c r="V340" s="120">
        <v>-9999</v>
      </c>
      <c r="W340" s="120">
        <v>-9999</v>
      </c>
      <c r="X340" s="120">
        <v>-9999</v>
      </c>
      <c r="Y340" s="120">
        <v>-9999</v>
      </c>
      <c r="Z340" s="120">
        <v>-9999</v>
      </c>
      <c r="AA340" s="120">
        <v>68</v>
      </c>
      <c r="AB340" s="120">
        <v>14.5</v>
      </c>
      <c r="AC340" s="120">
        <v>339</v>
      </c>
      <c r="AD340" s="120">
        <v>1611</v>
      </c>
      <c r="AE340" s="120">
        <v>-9999</v>
      </c>
      <c r="AF340" s="120">
        <v>-9999</v>
      </c>
      <c r="AG340" s="120">
        <v>-9999</v>
      </c>
    </row>
    <row r="341" spans="1:33" x14ac:dyDescent="0.25">
      <c r="A341" s="120">
        <v>340</v>
      </c>
      <c r="B341" s="120" t="b">
        <v>0</v>
      </c>
      <c r="C341" s="120">
        <v>0</v>
      </c>
      <c r="D341" s="61">
        <v>1</v>
      </c>
      <c r="E341" s="120">
        <v>1</v>
      </c>
      <c r="F341" s="120" t="s">
        <v>176</v>
      </c>
      <c r="G341" s="55">
        <v>100</v>
      </c>
      <c r="H341" s="120">
        <v>342</v>
      </c>
      <c r="I341" s="57">
        <v>165</v>
      </c>
      <c r="J341" s="120">
        <v>175</v>
      </c>
      <c r="K341" s="120">
        <v>11</v>
      </c>
      <c r="L341" s="120">
        <v>60</v>
      </c>
      <c r="M341" s="120">
        <v>15</v>
      </c>
      <c r="N341" s="120">
        <v>40</v>
      </c>
      <c r="O341" s="120">
        <v>2</v>
      </c>
      <c r="P341" s="120">
        <v>25</v>
      </c>
      <c r="Q341" s="120">
        <v>105</v>
      </c>
      <c r="R341" s="120">
        <v>85.400001525878906</v>
      </c>
      <c r="S341" s="148">
        <v>25</v>
      </c>
      <c r="T341" s="120">
        <v>70</v>
      </c>
      <c r="U341" s="120">
        <v>16</v>
      </c>
      <c r="V341" s="120">
        <v>-9999</v>
      </c>
      <c r="W341" s="120">
        <v>-9999</v>
      </c>
      <c r="X341" s="120">
        <v>-9999</v>
      </c>
      <c r="Y341" s="120">
        <v>-9999</v>
      </c>
      <c r="Z341" s="120">
        <v>-9999</v>
      </c>
      <c r="AA341" s="120">
        <v>68</v>
      </c>
      <c r="AB341" s="120">
        <v>14.5</v>
      </c>
      <c r="AC341" s="120">
        <v>340</v>
      </c>
      <c r="AD341" s="120">
        <v>1612</v>
      </c>
      <c r="AE341" s="120">
        <v>-9999</v>
      </c>
      <c r="AF341" s="120">
        <v>-9999</v>
      </c>
      <c r="AG341" s="120">
        <v>-9999</v>
      </c>
    </row>
    <row r="342" spans="1:33" x14ac:dyDescent="0.25">
      <c r="A342" s="120">
        <v>341</v>
      </c>
      <c r="B342" s="120" t="b">
        <v>0</v>
      </c>
      <c r="C342" s="120">
        <v>0</v>
      </c>
      <c r="D342" s="61">
        <v>1</v>
      </c>
      <c r="E342" s="120">
        <v>1</v>
      </c>
      <c r="F342" s="120" t="s">
        <v>176</v>
      </c>
      <c r="G342" s="55">
        <v>100</v>
      </c>
      <c r="H342" s="120">
        <v>348</v>
      </c>
      <c r="I342" s="57">
        <v>175</v>
      </c>
      <c r="J342" s="120">
        <v>185</v>
      </c>
      <c r="K342" s="120">
        <v>1</v>
      </c>
      <c r="L342" s="120">
        <v>50</v>
      </c>
      <c r="M342" s="120">
        <v>15</v>
      </c>
      <c r="N342" s="120">
        <v>40</v>
      </c>
      <c r="O342" s="120">
        <v>2</v>
      </c>
      <c r="P342" s="120">
        <v>5</v>
      </c>
      <c r="Q342" s="120">
        <v>105</v>
      </c>
      <c r="R342" s="120">
        <v>85.400001525878906</v>
      </c>
      <c r="S342" s="148">
        <v>24.600000381469702</v>
      </c>
      <c r="T342" s="120">
        <v>65</v>
      </c>
      <c r="U342" s="120">
        <v>17</v>
      </c>
      <c r="V342" s="120">
        <v>-9999</v>
      </c>
      <c r="W342" s="120">
        <v>-9999</v>
      </c>
      <c r="X342" s="120">
        <v>-9999</v>
      </c>
      <c r="Y342" s="120">
        <v>-9999</v>
      </c>
      <c r="Z342" s="120">
        <v>-9999</v>
      </c>
      <c r="AA342" s="120">
        <v>68</v>
      </c>
      <c r="AB342" s="120">
        <v>14.5</v>
      </c>
      <c r="AC342" s="120">
        <v>341</v>
      </c>
      <c r="AD342" s="120">
        <v>1613</v>
      </c>
      <c r="AE342" s="120">
        <v>-9999</v>
      </c>
      <c r="AF342" s="120">
        <v>-9999</v>
      </c>
      <c r="AG342" s="120">
        <v>-9999</v>
      </c>
    </row>
    <row r="343" spans="1:33" x14ac:dyDescent="0.25">
      <c r="A343" s="120">
        <v>342</v>
      </c>
      <c r="B343" s="120" t="b">
        <v>0</v>
      </c>
      <c r="C343" s="120">
        <v>0</v>
      </c>
      <c r="D343" s="61">
        <v>1</v>
      </c>
      <c r="E343" s="120">
        <v>1</v>
      </c>
      <c r="F343" s="120" t="s">
        <v>176</v>
      </c>
      <c r="G343" s="55">
        <v>100</v>
      </c>
      <c r="H343" s="120">
        <v>364</v>
      </c>
      <c r="I343" s="57">
        <v>175</v>
      </c>
      <c r="J343" s="120">
        <v>175</v>
      </c>
      <c r="K343" s="120">
        <v>2</v>
      </c>
      <c r="L343" s="120">
        <v>50</v>
      </c>
      <c r="M343" s="120">
        <v>15</v>
      </c>
      <c r="N343" s="120">
        <v>40</v>
      </c>
      <c r="O343" s="120">
        <v>2</v>
      </c>
      <c r="P343" s="120">
        <v>20</v>
      </c>
      <c r="Q343" s="120">
        <v>110</v>
      </c>
      <c r="R343" s="120">
        <v>89.5</v>
      </c>
      <c r="S343" s="148">
        <v>24.600000381469702</v>
      </c>
      <c r="T343" s="120">
        <v>65</v>
      </c>
      <c r="U343" s="120">
        <v>17</v>
      </c>
      <c r="V343" s="120">
        <v>-9999</v>
      </c>
      <c r="W343" s="120">
        <v>-9999</v>
      </c>
      <c r="X343" s="120">
        <v>-9999</v>
      </c>
      <c r="Y343" s="120">
        <v>-9999</v>
      </c>
      <c r="Z343" s="120">
        <v>-9999</v>
      </c>
      <c r="AA343" s="120">
        <v>68</v>
      </c>
      <c r="AB343" s="120">
        <v>14.5</v>
      </c>
      <c r="AC343" s="120">
        <v>342</v>
      </c>
      <c r="AD343" s="120">
        <v>1614</v>
      </c>
      <c r="AE343" s="120">
        <v>-9999</v>
      </c>
      <c r="AF343" s="120">
        <v>-9999</v>
      </c>
      <c r="AG343" s="120">
        <v>-9999</v>
      </c>
    </row>
    <row r="344" spans="1:33" x14ac:dyDescent="0.25">
      <c r="A344" s="120">
        <v>343</v>
      </c>
      <c r="B344" s="120" t="b">
        <v>0</v>
      </c>
      <c r="C344" s="120">
        <v>0</v>
      </c>
      <c r="D344" s="61">
        <v>1</v>
      </c>
      <c r="E344" s="120">
        <v>1</v>
      </c>
      <c r="F344" s="120" t="s">
        <v>176</v>
      </c>
      <c r="G344" s="55">
        <v>100</v>
      </c>
      <c r="H344" s="120">
        <v>364</v>
      </c>
      <c r="I344" s="57">
        <v>175</v>
      </c>
      <c r="J344" s="120">
        <v>175</v>
      </c>
      <c r="K344" s="120">
        <v>3</v>
      </c>
      <c r="L344" s="120">
        <v>40</v>
      </c>
      <c r="M344" s="120">
        <v>15</v>
      </c>
      <c r="N344" s="120">
        <v>40</v>
      </c>
      <c r="O344" s="120">
        <v>2</v>
      </c>
      <c r="P344" s="120">
        <v>16.666999816894499</v>
      </c>
      <c r="Q344" s="120">
        <v>110</v>
      </c>
      <c r="R344" s="120">
        <v>89.5</v>
      </c>
      <c r="S344" s="148">
        <v>24.600000381469702</v>
      </c>
      <c r="T344" s="120">
        <v>57</v>
      </c>
      <c r="U344" s="120">
        <v>17</v>
      </c>
      <c r="V344" s="120">
        <v>-9999</v>
      </c>
      <c r="W344" s="120">
        <v>-9999</v>
      </c>
      <c r="X344" s="120">
        <v>-9999</v>
      </c>
      <c r="Y344" s="120">
        <v>-9999</v>
      </c>
      <c r="Z344" s="120">
        <v>-9999</v>
      </c>
      <c r="AA344" s="120">
        <v>68</v>
      </c>
      <c r="AB344" s="120">
        <v>14.5</v>
      </c>
      <c r="AC344" s="120">
        <v>343</v>
      </c>
      <c r="AD344" s="120">
        <v>1615</v>
      </c>
      <c r="AE344" s="120">
        <v>-9999</v>
      </c>
      <c r="AF344" s="120">
        <v>-9999</v>
      </c>
      <c r="AG344" s="120">
        <v>-9999</v>
      </c>
    </row>
    <row r="345" spans="1:33" x14ac:dyDescent="0.25">
      <c r="A345" s="120">
        <v>344</v>
      </c>
      <c r="B345" s="120" t="b">
        <v>0</v>
      </c>
      <c r="C345" s="120">
        <v>0</v>
      </c>
      <c r="D345" s="61">
        <v>1</v>
      </c>
      <c r="E345" s="120">
        <v>1</v>
      </c>
      <c r="F345" s="120" t="s">
        <v>176</v>
      </c>
      <c r="G345" s="55">
        <v>100</v>
      </c>
      <c r="H345" s="120">
        <v>348</v>
      </c>
      <c r="I345" s="57">
        <v>175</v>
      </c>
      <c r="J345" s="120">
        <v>185</v>
      </c>
      <c r="K345" s="120">
        <v>4</v>
      </c>
      <c r="L345" s="120">
        <v>100</v>
      </c>
      <c r="M345" s="120">
        <v>15</v>
      </c>
      <c r="N345" s="120">
        <v>40</v>
      </c>
      <c r="O345" s="120">
        <v>2</v>
      </c>
      <c r="P345" s="120">
        <v>-9999</v>
      </c>
      <c r="Q345" s="120">
        <v>105</v>
      </c>
      <c r="R345" s="120">
        <v>85.400001525878906</v>
      </c>
      <c r="S345" s="148">
        <v>24.600000381469702</v>
      </c>
      <c r="T345" s="120">
        <v>-9999</v>
      </c>
      <c r="U345" s="120">
        <v>17</v>
      </c>
      <c r="V345" s="120">
        <v>-9999</v>
      </c>
      <c r="W345" s="120">
        <v>-9999</v>
      </c>
      <c r="X345" s="120">
        <v>-9999</v>
      </c>
      <c r="Y345" s="120">
        <v>-9999</v>
      </c>
      <c r="Z345" s="120">
        <v>-9999</v>
      </c>
      <c r="AA345" s="120">
        <v>68</v>
      </c>
      <c r="AB345" s="120">
        <v>14.5</v>
      </c>
      <c r="AC345" s="120">
        <v>344</v>
      </c>
      <c r="AD345" s="120">
        <v>1616</v>
      </c>
      <c r="AE345" s="120">
        <v>-9999</v>
      </c>
      <c r="AF345" s="120">
        <v>-9999</v>
      </c>
      <c r="AG345" s="120">
        <v>-9999</v>
      </c>
    </row>
    <row r="346" spans="1:33" x14ac:dyDescent="0.25">
      <c r="A346" s="120">
        <v>345</v>
      </c>
      <c r="B346" s="120" t="b">
        <v>0</v>
      </c>
      <c r="C346" s="120">
        <v>0</v>
      </c>
      <c r="D346" s="61">
        <v>1</v>
      </c>
      <c r="E346" s="120">
        <v>1</v>
      </c>
      <c r="F346" s="120" t="s">
        <v>176</v>
      </c>
      <c r="G346" s="55">
        <v>100</v>
      </c>
      <c r="H346" s="120">
        <v>348</v>
      </c>
      <c r="I346" s="57">
        <v>175</v>
      </c>
      <c r="J346" s="120">
        <v>185</v>
      </c>
      <c r="K346" s="120">
        <v>11</v>
      </c>
      <c r="L346" s="120">
        <v>60</v>
      </c>
      <c r="M346" s="120">
        <v>15</v>
      </c>
      <c r="N346" s="120">
        <v>40</v>
      </c>
      <c r="O346" s="120">
        <v>2</v>
      </c>
      <c r="P346" s="120">
        <v>25</v>
      </c>
      <c r="Q346" s="120">
        <v>105</v>
      </c>
      <c r="R346" s="120">
        <v>85.400001525878906</v>
      </c>
      <c r="S346" s="148">
        <v>24.600000381469702</v>
      </c>
      <c r="T346" s="120">
        <v>70</v>
      </c>
      <c r="U346" s="120">
        <v>17</v>
      </c>
      <c r="V346" s="120">
        <v>-9999</v>
      </c>
      <c r="W346" s="120">
        <v>-9999</v>
      </c>
      <c r="X346" s="120">
        <v>-9999</v>
      </c>
      <c r="Y346" s="120">
        <v>-9999</v>
      </c>
      <c r="Z346" s="120">
        <v>-9999</v>
      </c>
      <c r="AA346" s="120">
        <v>68</v>
      </c>
      <c r="AB346" s="120">
        <v>14.5</v>
      </c>
      <c r="AC346" s="120">
        <v>345</v>
      </c>
      <c r="AD346" s="120">
        <v>1617</v>
      </c>
      <c r="AE346" s="120">
        <v>-9999</v>
      </c>
      <c r="AF346" s="120">
        <v>-9999</v>
      </c>
      <c r="AG346" s="120">
        <v>-9999</v>
      </c>
    </row>
    <row r="347" spans="1:33" x14ac:dyDescent="0.25">
      <c r="A347" s="120">
        <v>346</v>
      </c>
      <c r="B347" s="120" t="b">
        <v>0</v>
      </c>
      <c r="C347" s="120">
        <v>0</v>
      </c>
      <c r="D347" s="61">
        <v>1</v>
      </c>
      <c r="E347" s="120">
        <v>1</v>
      </c>
      <c r="F347" s="120" t="s">
        <v>177</v>
      </c>
      <c r="G347" s="55">
        <v>125</v>
      </c>
      <c r="H347" s="120">
        <v>551</v>
      </c>
      <c r="I347" s="57">
        <v>100</v>
      </c>
      <c r="J347" s="120">
        <v>110</v>
      </c>
      <c r="K347" s="120">
        <v>1</v>
      </c>
      <c r="L347" s="120">
        <v>50</v>
      </c>
      <c r="M347" s="120">
        <v>15</v>
      </c>
      <c r="N347" s="120">
        <v>40</v>
      </c>
      <c r="O347" s="120">
        <v>2</v>
      </c>
      <c r="P347" s="120">
        <v>5</v>
      </c>
      <c r="Q347" s="120">
        <v>131.30000305175801</v>
      </c>
      <c r="R347" s="120">
        <v>106</v>
      </c>
      <c r="S347" s="148">
        <v>19.200000762939499</v>
      </c>
      <c r="T347" s="120">
        <v>65</v>
      </c>
      <c r="U347" s="120">
        <v>21</v>
      </c>
      <c r="V347" s="120">
        <v>-9999</v>
      </c>
      <c r="W347" s="120">
        <v>-9999</v>
      </c>
      <c r="X347" s="120">
        <v>-9999</v>
      </c>
      <c r="Y347" s="120">
        <v>-9999</v>
      </c>
      <c r="Z347" s="120">
        <v>-9999</v>
      </c>
      <c r="AA347" s="120">
        <v>68</v>
      </c>
      <c r="AB347" s="120">
        <v>14.5</v>
      </c>
      <c r="AC347" s="120">
        <v>346</v>
      </c>
      <c r="AD347" s="120">
        <v>1618</v>
      </c>
      <c r="AE347" s="120">
        <v>-9999</v>
      </c>
      <c r="AF347" s="120">
        <v>-9999</v>
      </c>
      <c r="AG347" s="120">
        <v>-9999</v>
      </c>
    </row>
    <row r="348" spans="1:33" x14ac:dyDescent="0.25">
      <c r="A348" s="120">
        <v>347</v>
      </c>
      <c r="B348" s="120" t="b">
        <v>0</v>
      </c>
      <c r="C348" s="120">
        <v>0</v>
      </c>
      <c r="D348" s="61">
        <v>1</v>
      </c>
      <c r="E348" s="120">
        <v>1</v>
      </c>
      <c r="F348" s="120" t="s">
        <v>177</v>
      </c>
      <c r="G348" s="55">
        <v>125</v>
      </c>
      <c r="H348" s="120">
        <v>577</v>
      </c>
      <c r="I348" s="57">
        <v>100</v>
      </c>
      <c r="J348" s="120">
        <v>100</v>
      </c>
      <c r="K348" s="120">
        <v>2</v>
      </c>
      <c r="L348" s="120">
        <v>50</v>
      </c>
      <c r="M348" s="120">
        <v>15</v>
      </c>
      <c r="N348" s="120">
        <v>40</v>
      </c>
      <c r="O348" s="120">
        <v>2</v>
      </c>
      <c r="P348" s="120">
        <v>20</v>
      </c>
      <c r="Q348" s="120">
        <v>137.5</v>
      </c>
      <c r="R348" s="120">
        <v>111</v>
      </c>
      <c r="S348" s="148">
        <v>19.200000762939499</v>
      </c>
      <c r="T348" s="120">
        <v>65</v>
      </c>
      <c r="U348" s="120">
        <v>21</v>
      </c>
      <c r="V348" s="120">
        <v>-9999</v>
      </c>
      <c r="W348" s="120">
        <v>-9999</v>
      </c>
      <c r="X348" s="120">
        <v>-9999</v>
      </c>
      <c r="Y348" s="120">
        <v>-9999</v>
      </c>
      <c r="Z348" s="120">
        <v>-9999</v>
      </c>
      <c r="AA348" s="120">
        <v>68</v>
      </c>
      <c r="AB348" s="120">
        <v>14.5</v>
      </c>
      <c r="AC348" s="120">
        <v>347</v>
      </c>
      <c r="AD348" s="120">
        <v>1619</v>
      </c>
      <c r="AE348" s="120">
        <v>-9999</v>
      </c>
      <c r="AF348" s="120">
        <v>-9999</v>
      </c>
      <c r="AG348" s="120">
        <v>-9999</v>
      </c>
    </row>
    <row r="349" spans="1:33" x14ac:dyDescent="0.25">
      <c r="A349" s="120">
        <v>348</v>
      </c>
      <c r="B349" s="120" t="b">
        <v>0</v>
      </c>
      <c r="C349" s="120">
        <v>0</v>
      </c>
      <c r="D349" s="61">
        <v>1</v>
      </c>
      <c r="E349" s="120">
        <v>1</v>
      </c>
      <c r="F349" s="120" t="s">
        <v>177</v>
      </c>
      <c r="G349" s="55">
        <v>125</v>
      </c>
      <c r="H349" s="120">
        <v>577</v>
      </c>
      <c r="I349" s="57">
        <v>100</v>
      </c>
      <c r="J349" s="120">
        <v>100</v>
      </c>
      <c r="K349" s="120">
        <v>3</v>
      </c>
      <c r="L349" s="120">
        <v>40</v>
      </c>
      <c r="M349" s="120">
        <v>15</v>
      </c>
      <c r="N349" s="120">
        <v>40</v>
      </c>
      <c r="O349" s="120">
        <v>2</v>
      </c>
      <c r="P349" s="120">
        <v>16.666999816894499</v>
      </c>
      <c r="Q349" s="120">
        <v>137.5</v>
      </c>
      <c r="R349" s="120">
        <v>111</v>
      </c>
      <c r="S349" s="148">
        <v>19.200000762939499</v>
      </c>
      <c r="T349" s="120">
        <v>57</v>
      </c>
      <c r="U349" s="120">
        <v>21</v>
      </c>
      <c r="V349" s="120">
        <v>-9999</v>
      </c>
      <c r="W349" s="120">
        <v>-9999</v>
      </c>
      <c r="X349" s="120">
        <v>-9999</v>
      </c>
      <c r="Y349" s="120">
        <v>-9999</v>
      </c>
      <c r="Z349" s="120">
        <v>-9999</v>
      </c>
      <c r="AA349" s="120">
        <v>68</v>
      </c>
      <c r="AB349" s="120">
        <v>14.5</v>
      </c>
      <c r="AC349" s="120">
        <v>348</v>
      </c>
      <c r="AD349" s="120">
        <v>1620</v>
      </c>
      <c r="AE349" s="120">
        <v>-9999</v>
      </c>
      <c r="AF349" s="120">
        <v>-9999</v>
      </c>
      <c r="AG349" s="120">
        <v>-9999</v>
      </c>
    </row>
    <row r="350" spans="1:33" x14ac:dyDescent="0.25">
      <c r="A350" s="120">
        <v>349</v>
      </c>
      <c r="B350" s="120" t="b">
        <v>0</v>
      </c>
      <c r="C350" s="120">
        <v>0</v>
      </c>
      <c r="D350" s="61">
        <v>1</v>
      </c>
      <c r="E350" s="120">
        <v>1</v>
      </c>
      <c r="F350" s="120" t="s">
        <v>177</v>
      </c>
      <c r="G350" s="55">
        <v>125</v>
      </c>
      <c r="H350" s="120">
        <v>551</v>
      </c>
      <c r="I350" s="57">
        <v>100</v>
      </c>
      <c r="J350" s="120">
        <v>110</v>
      </c>
      <c r="K350" s="120">
        <v>4</v>
      </c>
      <c r="L350" s="120">
        <v>100</v>
      </c>
      <c r="M350" s="120">
        <v>15</v>
      </c>
      <c r="N350" s="120">
        <v>40</v>
      </c>
      <c r="O350" s="120">
        <v>2</v>
      </c>
      <c r="P350" s="120">
        <v>-9999</v>
      </c>
      <c r="Q350" s="120">
        <v>131.30000305175801</v>
      </c>
      <c r="R350" s="120">
        <v>106</v>
      </c>
      <c r="S350" s="148">
        <v>19.200000762939499</v>
      </c>
      <c r="T350" s="120">
        <v>-9999</v>
      </c>
      <c r="U350" s="120">
        <v>21</v>
      </c>
      <c r="V350" s="120">
        <v>-9999</v>
      </c>
      <c r="W350" s="120">
        <v>-9999</v>
      </c>
      <c r="X350" s="120">
        <v>-9999</v>
      </c>
      <c r="Y350" s="120">
        <v>-9999</v>
      </c>
      <c r="Z350" s="120">
        <v>-9999</v>
      </c>
      <c r="AA350" s="120">
        <v>68</v>
      </c>
      <c r="AB350" s="120">
        <v>14.5</v>
      </c>
      <c r="AC350" s="120">
        <v>349</v>
      </c>
      <c r="AD350" s="120">
        <v>1621</v>
      </c>
      <c r="AE350" s="120">
        <v>-9999</v>
      </c>
      <c r="AF350" s="120">
        <v>-9999</v>
      </c>
      <c r="AG350" s="120">
        <v>-9999</v>
      </c>
    </row>
    <row r="351" spans="1:33" x14ac:dyDescent="0.25">
      <c r="A351" s="120">
        <v>350</v>
      </c>
      <c r="B351" s="120" t="b">
        <v>0</v>
      </c>
      <c r="C351" s="120">
        <v>0</v>
      </c>
      <c r="D351" s="61">
        <v>1</v>
      </c>
      <c r="E351" s="120">
        <v>1</v>
      </c>
      <c r="F351" s="120" t="s">
        <v>177</v>
      </c>
      <c r="G351" s="55">
        <v>125</v>
      </c>
      <c r="H351" s="120">
        <v>551</v>
      </c>
      <c r="I351" s="57">
        <v>100</v>
      </c>
      <c r="J351" s="120">
        <v>110</v>
      </c>
      <c r="K351" s="120">
        <v>11</v>
      </c>
      <c r="L351" s="120">
        <v>60</v>
      </c>
      <c r="M351" s="120">
        <v>15</v>
      </c>
      <c r="N351" s="120">
        <v>40</v>
      </c>
      <c r="O351" s="120">
        <v>2</v>
      </c>
      <c r="P351" s="120">
        <v>25</v>
      </c>
      <c r="Q351" s="120">
        <v>131.30000305175801</v>
      </c>
      <c r="R351" s="120">
        <v>106</v>
      </c>
      <c r="S351" s="148">
        <v>19.200000762939499</v>
      </c>
      <c r="T351" s="120">
        <v>70</v>
      </c>
      <c r="U351" s="120">
        <v>21</v>
      </c>
      <c r="V351" s="120">
        <v>-9999</v>
      </c>
      <c r="W351" s="120">
        <v>-9999</v>
      </c>
      <c r="X351" s="120">
        <v>-9999</v>
      </c>
      <c r="Y351" s="120">
        <v>-9999</v>
      </c>
      <c r="Z351" s="120">
        <v>-9999</v>
      </c>
      <c r="AA351" s="120">
        <v>68</v>
      </c>
      <c r="AB351" s="120">
        <v>14.5</v>
      </c>
      <c r="AC351" s="120">
        <v>350</v>
      </c>
      <c r="AD351" s="120">
        <v>1622</v>
      </c>
      <c r="AE351" s="120">
        <v>-9999</v>
      </c>
      <c r="AF351" s="120">
        <v>-9999</v>
      </c>
      <c r="AG351" s="120">
        <v>-9999</v>
      </c>
    </row>
    <row r="352" spans="1:33" x14ac:dyDescent="0.25">
      <c r="A352" s="120">
        <v>351</v>
      </c>
      <c r="B352" s="120" t="b">
        <v>0</v>
      </c>
      <c r="C352" s="120">
        <v>0</v>
      </c>
      <c r="D352" s="61">
        <v>1</v>
      </c>
      <c r="E352" s="120">
        <v>1</v>
      </c>
      <c r="F352" s="120" t="s">
        <v>177</v>
      </c>
      <c r="G352" s="55">
        <v>125</v>
      </c>
      <c r="H352" s="120">
        <v>584</v>
      </c>
      <c r="I352" s="57">
        <v>110</v>
      </c>
      <c r="J352" s="120">
        <v>120</v>
      </c>
      <c r="K352" s="120">
        <v>1</v>
      </c>
      <c r="L352" s="120">
        <v>50</v>
      </c>
      <c r="M352" s="120">
        <v>15</v>
      </c>
      <c r="N352" s="120">
        <v>40</v>
      </c>
      <c r="O352" s="120">
        <v>2</v>
      </c>
      <c r="P352" s="120">
        <v>5</v>
      </c>
      <c r="Q352" s="120">
        <v>131.30000305175801</v>
      </c>
      <c r="R352" s="120">
        <v>106</v>
      </c>
      <c r="S352" s="148">
        <v>18.200000762939499</v>
      </c>
      <c r="T352" s="120">
        <v>65</v>
      </c>
      <c r="U352" s="120">
        <v>20</v>
      </c>
      <c r="V352" s="120">
        <v>-9999</v>
      </c>
      <c r="W352" s="120">
        <v>-9999</v>
      </c>
      <c r="X352" s="120">
        <v>-9999</v>
      </c>
      <c r="Y352" s="120">
        <v>-9999</v>
      </c>
      <c r="Z352" s="120">
        <v>-9999</v>
      </c>
      <c r="AA352" s="120">
        <v>68</v>
      </c>
      <c r="AB352" s="120">
        <v>14.5</v>
      </c>
      <c r="AC352" s="120">
        <v>351</v>
      </c>
      <c r="AD352" s="120">
        <v>1623</v>
      </c>
      <c r="AE352" s="120">
        <v>-9999</v>
      </c>
      <c r="AF352" s="120">
        <v>-9999</v>
      </c>
      <c r="AG352" s="120">
        <v>-9999</v>
      </c>
    </row>
    <row r="353" spans="1:33" x14ac:dyDescent="0.25">
      <c r="A353" s="120">
        <v>352</v>
      </c>
      <c r="B353" s="120" t="b">
        <v>0</v>
      </c>
      <c r="C353" s="120">
        <v>0</v>
      </c>
      <c r="D353" s="61">
        <v>1</v>
      </c>
      <c r="E353" s="120">
        <v>1</v>
      </c>
      <c r="F353" s="120" t="s">
        <v>177</v>
      </c>
      <c r="G353" s="55">
        <v>125</v>
      </c>
      <c r="H353" s="120">
        <v>611</v>
      </c>
      <c r="I353" s="57">
        <v>110</v>
      </c>
      <c r="J353" s="120">
        <v>110</v>
      </c>
      <c r="K353" s="120">
        <v>2</v>
      </c>
      <c r="L353" s="120">
        <v>50</v>
      </c>
      <c r="M353" s="120">
        <v>15</v>
      </c>
      <c r="N353" s="120">
        <v>40</v>
      </c>
      <c r="O353" s="120">
        <v>2</v>
      </c>
      <c r="P353" s="120">
        <v>20</v>
      </c>
      <c r="Q353" s="120">
        <v>137.5</v>
      </c>
      <c r="R353" s="120">
        <v>111</v>
      </c>
      <c r="S353" s="148">
        <v>18.200000762939499</v>
      </c>
      <c r="T353" s="120">
        <v>65</v>
      </c>
      <c r="U353" s="120">
        <v>20</v>
      </c>
      <c r="V353" s="120">
        <v>-9999</v>
      </c>
      <c r="W353" s="120">
        <v>-9999</v>
      </c>
      <c r="X353" s="120">
        <v>-9999</v>
      </c>
      <c r="Y353" s="120">
        <v>-9999</v>
      </c>
      <c r="Z353" s="120">
        <v>-9999</v>
      </c>
      <c r="AA353" s="120">
        <v>68</v>
      </c>
      <c r="AB353" s="120">
        <v>14.5</v>
      </c>
      <c r="AC353" s="120">
        <v>352</v>
      </c>
      <c r="AD353" s="120">
        <v>1624</v>
      </c>
      <c r="AE353" s="120">
        <v>-9999</v>
      </c>
      <c r="AF353" s="120">
        <v>-9999</v>
      </c>
      <c r="AG353" s="120">
        <v>-9999</v>
      </c>
    </row>
    <row r="354" spans="1:33" x14ac:dyDescent="0.25">
      <c r="A354" s="120">
        <v>353</v>
      </c>
      <c r="B354" s="120" t="b">
        <v>0</v>
      </c>
      <c r="C354" s="120">
        <v>0</v>
      </c>
      <c r="D354" s="61">
        <v>1</v>
      </c>
      <c r="E354" s="120">
        <v>1</v>
      </c>
      <c r="F354" s="120" t="s">
        <v>177</v>
      </c>
      <c r="G354" s="55">
        <v>125</v>
      </c>
      <c r="H354" s="120">
        <v>611</v>
      </c>
      <c r="I354" s="57">
        <v>110</v>
      </c>
      <c r="J354" s="120">
        <v>110</v>
      </c>
      <c r="K354" s="120">
        <v>3</v>
      </c>
      <c r="L354" s="120">
        <v>40</v>
      </c>
      <c r="M354" s="120">
        <v>15</v>
      </c>
      <c r="N354" s="120">
        <v>40</v>
      </c>
      <c r="O354" s="120">
        <v>2</v>
      </c>
      <c r="P354" s="120">
        <v>16.666999816894499</v>
      </c>
      <c r="Q354" s="120">
        <v>137.5</v>
      </c>
      <c r="R354" s="120">
        <v>111</v>
      </c>
      <c r="S354" s="148">
        <v>18.200000762939499</v>
      </c>
      <c r="T354" s="120">
        <v>57</v>
      </c>
      <c r="U354" s="120">
        <v>20</v>
      </c>
      <c r="V354" s="120">
        <v>-9999</v>
      </c>
      <c r="W354" s="120">
        <v>-9999</v>
      </c>
      <c r="X354" s="120">
        <v>-9999</v>
      </c>
      <c r="Y354" s="120">
        <v>-9999</v>
      </c>
      <c r="Z354" s="120">
        <v>-9999</v>
      </c>
      <c r="AA354" s="120">
        <v>68</v>
      </c>
      <c r="AB354" s="120">
        <v>14.5</v>
      </c>
      <c r="AC354" s="120">
        <v>353</v>
      </c>
      <c r="AD354" s="120">
        <v>1625</v>
      </c>
      <c r="AE354" s="120">
        <v>-9999</v>
      </c>
      <c r="AF354" s="120">
        <v>-9999</v>
      </c>
      <c r="AG354" s="120">
        <v>-9999</v>
      </c>
    </row>
    <row r="355" spans="1:33" x14ac:dyDescent="0.25">
      <c r="A355" s="120">
        <v>354</v>
      </c>
      <c r="B355" s="120" t="b">
        <v>0</v>
      </c>
      <c r="C355" s="120">
        <v>0</v>
      </c>
      <c r="D355" s="61">
        <v>1</v>
      </c>
      <c r="E355" s="120">
        <v>1</v>
      </c>
      <c r="F355" s="120" t="s">
        <v>177</v>
      </c>
      <c r="G355" s="55">
        <v>125</v>
      </c>
      <c r="H355" s="120">
        <v>584</v>
      </c>
      <c r="I355" s="57">
        <v>110</v>
      </c>
      <c r="J355" s="120">
        <v>120</v>
      </c>
      <c r="K355" s="120">
        <v>4</v>
      </c>
      <c r="L355" s="120">
        <v>100</v>
      </c>
      <c r="M355" s="120">
        <v>15</v>
      </c>
      <c r="N355" s="120">
        <v>40</v>
      </c>
      <c r="O355" s="120">
        <v>2</v>
      </c>
      <c r="P355" s="120">
        <v>-9999</v>
      </c>
      <c r="Q355" s="120">
        <v>131.30000305175801</v>
      </c>
      <c r="R355" s="120">
        <v>106</v>
      </c>
      <c r="S355" s="148">
        <v>18.200000762939499</v>
      </c>
      <c r="T355" s="120">
        <v>-9999</v>
      </c>
      <c r="U355" s="120">
        <v>20</v>
      </c>
      <c r="V355" s="120">
        <v>-9999</v>
      </c>
      <c r="W355" s="120">
        <v>-9999</v>
      </c>
      <c r="X355" s="120">
        <v>-9999</v>
      </c>
      <c r="Y355" s="120">
        <v>-9999</v>
      </c>
      <c r="Z355" s="120">
        <v>-9999</v>
      </c>
      <c r="AA355" s="120">
        <v>68</v>
      </c>
      <c r="AB355" s="120">
        <v>14.5</v>
      </c>
      <c r="AC355" s="120">
        <v>354</v>
      </c>
      <c r="AD355" s="120">
        <v>1626</v>
      </c>
      <c r="AE355" s="120">
        <v>-9999</v>
      </c>
      <c r="AF355" s="120">
        <v>-9999</v>
      </c>
      <c r="AG355" s="120">
        <v>-9999</v>
      </c>
    </row>
    <row r="356" spans="1:33" x14ac:dyDescent="0.25">
      <c r="A356" s="120">
        <v>355</v>
      </c>
      <c r="B356" s="120" t="b">
        <v>0</v>
      </c>
      <c r="C356" s="120">
        <v>0</v>
      </c>
      <c r="D356" s="61">
        <v>1</v>
      </c>
      <c r="E356" s="120">
        <v>1</v>
      </c>
      <c r="F356" s="120" t="s">
        <v>177</v>
      </c>
      <c r="G356" s="55">
        <v>125</v>
      </c>
      <c r="H356" s="120">
        <v>584</v>
      </c>
      <c r="I356" s="57">
        <v>110</v>
      </c>
      <c r="J356" s="120">
        <v>120</v>
      </c>
      <c r="K356" s="120">
        <v>11</v>
      </c>
      <c r="L356" s="120">
        <v>60</v>
      </c>
      <c r="M356" s="120">
        <v>15</v>
      </c>
      <c r="N356" s="120">
        <v>40</v>
      </c>
      <c r="O356" s="120">
        <v>2</v>
      </c>
      <c r="P356" s="120">
        <v>25</v>
      </c>
      <c r="Q356" s="120">
        <v>131.30000305175801</v>
      </c>
      <c r="R356" s="120">
        <v>106</v>
      </c>
      <c r="S356" s="148">
        <v>18.200000762939499</v>
      </c>
      <c r="T356" s="120">
        <v>70</v>
      </c>
      <c r="U356" s="120">
        <v>20</v>
      </c>
      <c r="V356" s="120">
        <v>-9999</v>
      </c>
      <c r="W356" s="120">
        <v>-9999</v>
      </c>
      <c r="X356" s="120">
        <v>-9999</v>
      </c>
      <c r="Y356" s="120">
        <v>-9999</v>
      </c>
      <c r="Z356" s="120">
        <v>-9999</v>
      </c>
      <c r="AA356" s="120">
        <v>68</v>
      </c>
      <c r="AB356" s="120">
        <v>14.5</v>
      </c>
      <c r="AC356" s="120">
        <v>355</v>
      </c>
      <c r="AD356" s="120">
        <v>1627</v>
      </c>
      <c r="AE356" s="120">
        <v>-9999</v>
      </c>
      <c r="AF356" s="120">
        <v>-9999</v>
      </c>
      <c r="AG356" s="120">
        <v>-9999</v>
      </c>
    </row>
    <row r="357" spans="1:33" x14ac:dyDescent="0.25">
      <c r="A357" s="120">
        <v>356</v>
      </c>
      <c r="B357" s="120" t="b">
        <v>0</v>
      </c>
      <c r="C357" s="120">
        <v>0</v>
      </c>
      <c r="D357" s="61">
        <v>1</v>
      </c>
      <c r="E357" s="120">
        <v>1</v>
      </c>
      <c r="F357" s="120" t="s">
        <v>177</v>
      </c>
      <c r="G357" s="55">
        <v>125</v>
      </c>
      <c r="H357" s="120">
        <v>565</v>
      </c>
      <c r="I357" s="57">
        <v>115</v>
      </c>
      <c r="J357" s="120">
        <v>125</v>
      </c>
      <c r="K357" s="120">
        <v>1</v>
      </c>
      <c r="L357" s="120">
        <v>50</v>
      </c>
      <c r="M357" s="120">
        <v>15</v>
      </c>
      <c r="N357" s="120">
        <v>40</v>
      </c>
      <c r="O357" s="120">
        <v>2</v>
      </c>
      <c r="P357" s="120">
        <v>5</v>
      </c>
      <c r="Q357" s="120">
        <v>131.30000305175801</v>
      </c>
      <c r="R357" s="120">
        <v>106</v>
      </c>
      <c r="S357" s="148">
        <v>18.799999237060501</v>
      </c>
      <c r="T357" s="120">
        <v>65</v>
      </c>
      <c r="U357" s="120">
        <v>19</v>
      </c>
      <c r="V357" s="120">
        <v>-9999</v>
      </c>
      <c r="W357" s="120">
        <v>-9999</v>
      </c>
      <c r="X357" s="120">
        <v>-9999</v>
      </c>
      <c r="Y357" s="120">
        <v>-9999</v>
      </c>
      <c r="Z357" s="120">
        <v>-9999</v>
      </c>
      <c r="AA357" s="120">
        <v>68</v>
      </c>
      <c r="AB357" s="120">
        <v>14.5</v>
      </c>
      <c r="AC357" s="120">
        <v>356</v>
      </c>
      <c r="AD357" s="120">
        <v>1628</v>
      </c>
      <c r="AE357" s="120">
        <v>-9999</v>
      </c>
      <c r="AF357" s="120">
        <v>-9999</v>
      </c>
      <c r="AG357" s="120">
        <v>-9999</v>
      </c>
    </row>
    <row r="358" spans="1:33" x14ac:dyDescent="0.25">
      <c r="A358" s="120">
        <v>357</v>
      </c>
      <c r="B358" s="120" t="b">
        <v>0</v>
      </c>
      <c r="C358" s="120">
        <v>0</v>
      </c>
      <c r="D358" s="61">
        <v>1</v>
      </c>
      <c r="E358" s="120">
        <v>1</v>
      </c>
      <c r="F358" s="120" t="s">
        <v>177</v>
      </c>
      <c r="G358" s="55">
        <v>125</v>
      </c>
      <c r="H358" s="120">
        <v>592</v>
      </c>
      <c r="I358" s="57">
        <v>115</v>
      </c>
      <c r="J358" s="120">
        <v>115</v>
      </c>
      <c r="K358" s="120">
        <v>2</v>
      </c>
      <c r="L358" s="120">
        <v>50</v>
      </c>
      <c r="M358" s="120">
        <v>15</v>
      </c>
      <c r="N358" s="120">
        <v>40</v>
      </c>
      <c r="O358" s="120">
        <v>2</v>
      </c>
      <c r="P358" s="120">
        <v>20</v>
      </c>
      <c r="Q358" s="120">
        <v>137.5</v>
      </c>
      <c r="R358" s="120">
        <v>111</v>
      </c>
      <c r="S358" s="148">
        <v>18.799999237060501</v>
      </c>
      <c r="T358" s="120">
        <v>65</v>
      </c>
      <c r="U358" s="120">
        <v>19</v>
      </c>
      <c r="V358" s="120">
        <v>-9999</v>
      </c>
      <c r="W358" s="120">
        <v>-9999</v>
      </c>
      <c r="X358" s="120">
        <v>-9999</v>
      </c>
      <c r="Y358" s="120">
        <v>-9999</v>
      </c>
      <c r="Z358" s="120">
        <v>-9999</v>
      </c>
      <c r="AA358" s="120">
        <v>68</v>
      </c>
      <c r="AB358" s="120">
        <v>14.5</v>
      </c>
      <c r="AC358" s="120">
        <v>357</v>
      </c>
      <c r="AD358" s="120">
        <v>1629</v>
      </c>
      <c r="AE358" s="120">
        <v>-9999</v>
      </c>
      <c r="AF358" s="120">
        <v>-9999</v>
      </c>
      <c r="AG358" s="120">
        <v>-9999</v>
      </c>
    </row>
    <row r="359" spans="1:33" x14ac:dyDescent="0.25">
      <c r="A359" s="120">
        <v>358</v>
      </c>
      <c r="B359" s="120" t="b">
        <v>0</v>
      </c>
      <c r="C359" s="120">
        <v>0</v>
      </c>
      <c r="D359" s="61">
        <v>1</v>
      </c>
      <c r="E359" s="120">
        <v>1</v>
      </c>
      <c r="F359" s="120" t="s">
        <v>177</v>
      </c>
      <c r="G359" s="55">
        <v>125</v>
      </c>
      <c r="H359" s="120">
        <v>592</v>
      </c>
      <c r="I359" s="57">
        <v>115</v>
      </c>
      <c r="J359" s="120">
        <v>115</v>
      </c>
      <c r="K359" s="120">
        <v>3</v>
      </c>
      <c r="L359" s="120">
        <v>40</v>
      </c>
      <c r="M359" s="120">
        <v>15</v>
      </c>
      <c r="N359" s="120">
        <v>40</v>
      </c>
      <c r="O359" s="120">
        <v>2</v>
      </c>
      <c r="P359" s="120">
        <v>16.666999816894499</v>
      </c>
      <c r="Q359" s="120">
        <v>137.5</v>
      </c>
      <c r="R359" s="120">
        <v>111</v>
      </c>
      <c r="S359" s="148">
        <v>18.799999237060501</v>
      </c>
      <c r="T359" s="120">
        <v>57</v>
      </c>
      <c r="U359" s="120">
        <v>19</v>
      </c>
      <c r="V359" s="120">
        <v>-9999</v>
      </c>
      <c r="W359" s="120">
        <v>-9999</v>
      </c>
      <c r="X359" s="120">
        <v>-9999</v>
      </c>
      <c r="Y359" s="120">
        <v>-9999</v>
      </c>
      <c r="Z359" s="120">
        <v>-9999</v>
      </c>
      <c r="AA359" s="120">
        <v>68</v>
      </c>
      <c r="AB359" s="120">
        <v>14.5</v>
      </c>
      <c r="AC359" s="120">
        <v>358</v>
      </c>
      <c r="AD359" s="120">
        <v>1630</v>
      </c>
      <c r="AE359" s="120">
        <v>-9999</v>
      </c>
      <c r="AF359" s="120">
        <v>-9999</v>
      </c>
      <c r="AG359" s="120">
        <v>-9999</v>
      </c>
    </row>
    <row r="360" spans="1:33" x14ac:dyDescent="0.25">
      <c r="A360" s="120">
        <v>359</v>
      </c>
      <c r="B360" s="120" t="b">
        <v>0</v>
      </c>
      <c r="C360" s="120">
        <v>0</v>
      </c>
      <c r="D360" s="61">
        <v>1</v>
      </c>
      <c r="E360" s="120">
        <v>1</v>
      </c>
      <c r="F360" s="120" t="s">
        <v>177</v>
      </c>
      <c r="G360" s="55">
        <v>125</v>
      </c>
      <c r="H360" s="120">
        <v>565</v>
      </c>
      <c r="I360" s="57">
        <v>115</v>
      </c>
      <c r="J360" s="120">
        <v>125</v>
      </c>
      <c r="K360" s="120">
        <v>4</v>
      </c>
      <c r="L360" s="120">
        <v>100</v>
      </c>
      <c r="M360" s="120">
        <v>15</v>
      </c>
      <c r="N360" s="120">
        <v>40</v>
      </c>
      <c r="O360" s="120">
        <v>2</v>
      </c>
      <c r="P360" s="120">
        <v>-9999</v>
      </c>
      <c r="Q360" s="120">
        <v>131.30000305175801</v>
      </c>
      <c r="R360" s="120">
        <v>106</v>
      </c>
      <c r="S360" s="148">
        <v>18.799999237060501</v>
      </c>
      <c r="T360" s="120">
        <v>-9999</v>
      </c>
      <c r="U360" s="120">
        <v>19</v>
      </c>
      <c r="V360" s="120">
        <v>-9999</v>
      </c>
      <c r="W360" s="120">
        <v>-9999</v>
      </c>
      <c r="X360" s="120">
        <v>-9999</v>
      </c>
      <c r="Y360" s="120">
        <v>-9999</v>
      </c>
      <c r="Z360" s="120">
        <v>-9999</v>
      </c>
      <c r="AA360" s="120">
        <v>68</v>
      </c>
      <c r="AB360" s="120">
        <v>14.5</v>
      </c>
      <c r="AC360" s="120">
        <v>359</v>
      </c>
      <c r="AD360" s="120">
        <v>1631</v>
      </c>
      <c r="AE360" s="120">
        <v>-9999</v>
      </c>
      <c r="AF360" s="120">
        <v>-9999</v>
      </c>
      <c r="AG360" s="120">
        <v>-9999</v>
      </c>
    </row>
    <row r="361" spans="1:33" x14ac:dyDescent="0.25">
      <c r="A361" s="120">
        <v>360</v>
      </c>
      <c r="B361" s="120" t="b">
        <v>0</v>
      </c>
      <c r="C361" s="120">
        <v>0</v>
      </c>
      <c r="D361" s="61">
        <v>1</v>
      </c>
      <c r="E361" s="120">
        <v>1</v>
      </c>
      <c r="F361" s="120" t="s">
        <v>177</v>
      </c>
      <c r="G361" s="55">
        <v>125</v>
      </c>
      <c r="H361" s="120">
        <v>565</v>
      </c>
      <c r="I361" s="57">
        <v>115</v>
      </c>
      <c r="J361" s="120">
        <v>125</v>
      </c>
      <c r="K361" s="120">
        <v>11</v>
      </c>
      <c r="L361" s="120">
        <v>60</v>
      </c>
      <c r="M361" s="120">
        <v>15</v>
      </c>
      <c r="N361" s="120">
        <v>40</v>
      </c>
      <c r="O361" s="120">
        <v>2</v>
      </c>
      <c r="P361" s="120">
        <v>25</v>
      </c>
      <c r="Q361" s="120">
        <v>131.30000305175801</v>
      </c>
      <c r="R361" s="120">
        <v>106</v>
      </c>
      <c r="S361" s="148">
        <v>18.799999237060501</v>
      </c>
      <c r="T361" s="120">
        <v>70</v>
      </c>
      <c r="U361" s="120">
        <v>19</v>
      </c>
      <c r="V361" s="120">
        <v>-9999</v>
      </c>
      <c r="W361" s="120">
        <v>-9999</v>
      </c>
      <c r="X361" s="120">
        <v>-9999</v>
      </c>
      <c r="Y361" s="120">
        <v>-9999</v>
      </c>
      <c r="Z361" s="120">
        <v>-9999</v>
      </c>
      <c r="AA361" s="120">
        <v>68</v>
      </c>
      <c r="AB361" s="120">
        <v>14.5</v>
      </c>
      <c r="AC361" s="120">
        <v>360</v>
      </c>
      <c r="AD361" s="120">
        <v>1632</v>
      </c>
      <c r="AE361" s="120">
        <v>-9999</v>
      </c>
      <c r="AF361" s="120">
        <v>-9999</v>
      </c>
      <c r="AG361" s="120">
        <v>-9999</v>
      </c>
    </row>
    <row r="362" spans="1:33" x14ac:dyDescent="0.25">
      <c r="A362" s="120">
        <v>361</v>
      </c>
      <c r="B362" s="120" t="b">
        <v>0</v>
      </c>
      <c r="C362" s="120">
        <v>0</v>
      </c>
      <c r="D362" s="61">
        <v>1</v>
      </c>
      <c r="E362" s="120">
        <v>1</v>
      </c>
      <c r="F362" s="120" t="s">
        <v>177</v>
      </c>
      <c r="G362" s="55">
        <v>125</v>
      </c>
      <c r="H362" s="120">
        <v>547</v>
      </c>
      <c r="I362" s="57">
        <v>125</v>
      </c>
      <c r="J362" s="120">
        <v>135</v>
      </c>
      <c r="K362" s="120">
        <v>1</v>
      </c>
      <c r="L362" s="120">
        <v>50</v>
      </c>
      <c r="M362" s="120">
        <v>15</v>
      </c>
      <c r="N362" s="120">
        <v>40</v>
      </c>
      <c r="O362" s="120">
        <v>2</v>
      </c>
      <c r="P362" s="120">
        <v>5</v>
      </c>
      <c r="Q362" s="120">
        <v>131.30000305175801</v>
      </c>
      <c r="R362" s="120">
        <v>106</v>
      </c>
      <c r="S362" s="148">
        <v>19.399999618530298</v>
      </c>
      <c r="T362" s="120">
        <v>65</v>
      </c>
      <c r="U362" s="120">
        <v>17</v>
      </c>
      <c r="V362" s="120">
        <v>-9999</v>
      </c>
      <c r="W362" s="120">
        <v>-9999</v>
      </c>
      <c r="X362" s="120">
        <v>-9999</v>
      </c>
      <c r="Y362" s="120">
        <v>-9999</v>
      </c>
      <c r="Z362" s="120">
        <v>-9999</v>
      </c>
      <c r="AA362" s="120">
        <v>68</v>
      </c>
      <c r="AB362" s="120">
        <v>14.5</v>
      </c>
      <c r="AC362" s="120">
        <v>361</v>
      </c>
      <c r="AD362" s="120">
        <v>1633</v>
      </c>
      <c r="AE362" s="120">
        <v>-9999</v>
      </c>
      <c r="AF362" s="120">
        <v>-9999</v>
      </c>
      <c r="AG362" s="120">
        <v>-9999</v>
      </c>
    </row>
    <row r="363" spans="1:33" x14ac:dyDescent="0.25">
      <c r="A363" s="120">
        <v>362</v>
      </c>
      <c r="B363" s="120" t="b">
        <v>0</v>
      </c>
      <c r="C363" s="120">
        <v>0</v>
      </c>
      <c r="D363" s="61">
        <v>1</v>
      </c>
      <c r="E363" s="120">
        <v>1</v>
      </c>
      <c r="F363" s="120" t="s">
        <v>177</v>
      </c>
      <c r="G363" s="55">
        <v>125</v>
      </c>
      <c r="H363" s="120">
        <v>573</v>
      </c>
      <c r="I363" s="57">
        <v>125</v>
      </c>
      <c r="J363" s="120">
        <v>125</v>
      </c>
      <c r="K363" s="120">
        <v>2</v>
      </c>
      <c r="L363" s="120">
        <v>50</v>
      </c>
      <c r="M363" s="120">
        <v>15</v>
      </c>
      <c r="N363" s="120">
        <v>40</v>
      </c>
      <c r="O363" s="120">
        <v>2</v>
      </c>
      <c r="P363" s="120">
        <v>20</v>
      </c>
      <c r="Q363" s="120">
        <v>137.5</v>
      </c>
      <c r="R363" s="120">
        <v>111</v>
      </c>
      <c r="S363" s="148">
        <v>19.399999618530298</v>
      </c>
      <c r="T363" s="120">
        <v>65</v>
      </c>
      <c r="U363" s="120">
        <v>17</v>
      </c>
      <c r="V363" s="120">
        <v>-9999</v>
      </c>
      <c r="W363" s="120">
        <v>-9999</v>
      </c>
      <c r="X363" s="120">
        <v>-9999</v>
      </c>
      <c r="Y363" s="120">
        <v>-9999</v>
      </c>
      <c r="Z363" s="120">
        <v>-9999</v>
      </c>
      <c r="AA363" s="120">
        <v>68</v>
      </c>
      <c r="AB363" s="120">
        <v>14.5</v>
      </c>
      <c r="AC363" s="120">
        <v>362</v>
      </c>
      <c r="AD363" s="120">
        <v>1634</v>
      </c>
      <c r="AE363" s="120">
        <v>-9999</v>
      </c>
      <c r="AF363" s="120">
        <v>-9999</v>
      </c>
      <c r="AG363" s="120">
        <v>-9999</v>
      </c>
    </row>
    <row r="364" spans="1:33" x14ac:dyDescent="0.25">
      <c r="A364" s="120">
        <v>363</v>
      </c>
      <c r="B364" s="120" t="b">
        <v>0</v>
      </c>
      <c r="C364" s="120">
        <v>0</v>
      </c>
      <c r="D364" s="61">
        <v>1</v>
      </c>
      <c r="E364" s="120">
        <v>1</v>
      </c>
      <c r="F364" s="120" t="s">
        <v>177</v>
      </c>
      <c r="G364" s="55">
        <v>125</v>
      </c>
      <c r="H364" s="120">
        <v>573</v>
      </c>
      <c r="I364" s="57">
        <v>125</v>
      </c>
      <c r="J364" s="120">
        <v>125</v>
      </c>
      <c r="K364" s="120">
        <v>3</v>
      </c>
      <c r="L364" s="120">
        <v>40</v>
      </c>
      <c r="M364" s="120">
        <v>15</v>
      </c>
      <c r="N364" s="120">
        <v>40</v>
      </c>
      <c r="O364" s="120">
        <v>2</v>
      </c>
      <c r="P364" s="120">
        <v>16.666999816894499</v>
      </c>
      <c r="Q364" s="120">
        <v>137.5</v>
      </c>
      <c r="R364" s="120">
        <v>111</v>
      </c>
      <c r="S364" s="148">
        <v>19.399999618530298</v>
      </c>
      <c r="T364" s="120">
        <v>57</v>
      </c>
      <c r="U364" s="120">
        <v>17</v>
      </c>
      <c r="V364" s="120">
        <v>-9999</v>
      </c>
      <c r="W364" s="120">
        <v>-9999</v>
      </c>
      <c r="X364" s="120">
        <v>-9999</v>
      </c>
      <c r="Y364" s="120">
        <v>-9999</v>
      </c>
      <c r="Z364" s="120">
        <v>-9999</v>
      </c>
      <c r="AA364" s="120">
        <v>68</v>
      </c>
      <c r="AB364" s="120">
        <v>14.5</v>
      </c>
      <c r="AC364" s="120">
        <v>363</v>
      </c>
      <c r="AD364" s="120">
        <v>1635</v>
      </c>
      <c r="AE364" s="120">
        <v>-9999</v>
      </c>
      <c r="AF364" s="120">
        <v>-9999</v>
      </c>
      <c r="AG364" s="120">
        <v>-9999</v>
      </c>
    </row>
    <row r="365" spans="1:33" x14ac:dyDescent="0.25">
      <c r="A365" s="120">
        <v>364</v>
      </c>
      <c r="B365" s="120" t="b">
        <v>0</v>
      </c>
      <c r="C365" s="120">
        <v>0</v>
      </c>
      <c r="D365" s="61">
        <v>1</v>
      </c>
      <c r="E365" s="120">
        <v>1</v>
      </c>
      <c r="F365" s="120" t="s">
        <v>177</v>
      </c>
      <c r="G365" s="55">
        <v>125</v>
      </c>
      <c r="H365" s="120">
        <v>547</v>
      </c>
      <c r="I365" s="57">
        <v>125</v>
      </c>
      <c r="J365" s="120">
        <v>135</v>
      </c>
      <c r="K365" s="120">
        <v>4</v>
      </c>
      <c r="L365" s="120">
        <v>100</v>
      </c>
      <c r="M365" s="120">
        <v>15</v>
      </c>
      <c r="N365" s="120">
        <v>40</v>
      </c>
      <c r="O365" s="120">
        <v>2</v>
      </c>
      <c r="P365" s="120">
        <v>-9999</v>
      </c>
      <c r="Q365" s="120">
        <v>131.30000305175801</v>
      </c>
      <c r="R365" s="120">
        <v>106</v>
      </c>
      <c r="S365" s="148">
        <v>19.399999618530298</v>
      </c>
      <c r="T365" s="120">
        <v>-9999</v>
      </c>
      <c r="U365" s="120">
        <v>17</v>
      </c>
      <c r="V365" s="120">
        <v>-9999</v>
      </c>
      <c r="W365" s="120">
        <v>-9999</v>
      </c>
      <c r="X365" s="120">
        <v>-9999</v>
      </c>
      <c r="Y365" s="120">
        <v>-9999</v>
      </c>
      <c r="Z365" s="120">
        <v>-9999</v>
      </c>
      <c r="AA365" s="120">
        <v>68</v>
      </c>
      <c r="AB365" s="120">
        <v>14.5</v>
      </c>
      <c r="AC365" s="120">
        <v>364</v>
      </c>
      <c r="AD365" s="120">
        <v>1636</v>
      </c>
      <c r="AE365" s="120">
        <v>-9999</v>
      </c>
      <c r="AF365" s="120">
        <v>-9999</v>
      </c>
      <c r="AG365" s="120">
        <v>-9999</v>
      </c>
    </row>
    <row r="366" spans="1:33" x14ac:dyDescent="0.25">
      <c r="A366" s="120">
        <v>365</v>
      </c>
      <c r="B366" s="120" t="b">
        <v>0</v>
      </c>
      <c r="C366" s="120">
        <v>0</v>
      </c>
      <c r="D366" s="61">
        <v>1</v>
      </c>
      <c r="E366" s="120">
        <v>1</v>
      </c>
      <c r="F366" s="120" t="s">
        <v>177</v>
      </c>
      <c r="G366" s="55">
        <v>125</v>
      </c>
      <c r="H366" s="120">
        <v>547</v>
      </c>
      <c r="I366" s="57">
        <v>125</v>
      </c>
      <c r="J366" s="120">
        <v>135</v>
      </c>
      <c r="K366" s="120">
        <v>11</v>
      </c>
      <c r="L366" s="120">
        <v>60</v>
      </c>
      <c r="M366" s="120">
        <v>15</v>
      </c>
      <c r="N366" s="120">
        <v>40</v>
      </c>
      <c r="O366" s="120">
        <v>2</v>
      </c>
      <c r="P366" s="120">
        <v>25</v>
      </c>
      <c r="Q366" s="120">
        <v>131.30000305175801</v>
      </c>
      <c r="R366" s="120">
        <v>106</v>
      </c>
      <c r="S366" s="148">
        <v>19.399999618530298</v>
      </c>
      <c r="T366" s="120">
        <v>70</v>
      </c>
      <c r="U366" s="120">
        <v>17</v>
      </c>
      <c r="V366" s="120">
        <v>-9999</v>
      </c>
      <c r="W366" s="120">
        <v>-9999</v>
      </c>
      <c r="X366" s="120">
        <v>-9999</v>
      </c>
      <c r="Y366" s="120">
        <v>-9999</v>
      </c>
      <c r="Z366" s="120">
        <v>-9999</v>
      </c>
      <c r="AA366" s="120">
        <v>68</v>
      </c>
      <c r="AB366" s="120">
        <v>14.5</v>
      </c>
      <c r="AC366" s="120">
        <v>365</v>
      </c>
      <c r="AD366" s="120">
        <v>1637</v>
      </c>
      <c r="AE366" s="120">
        <v>-9999</v>
      </c>
      <c r="AF366" s="120">
        <v>-9999</v>
      </c>
      <c r="AG366" s="120">
        <v>-9999</v>
      </c>
    </row>
    <row r="367" spans="1:33" x14ac:dyDescent="0.25">
      <c r="A367" s="120">
        <v>366</v>
      </c>
      <c r="B367" s="120" t="b">
        <v>0</v>
      </c>
      <c r="C367" s="120">
        <v>0</v>
      </c>
      <c r="D367" s="61">
        <v>1</v>
      </c>
      <c r="E367" s="120">
        <v>1</v>
      </c>
      <c r="F367" s="120" t="s">
        <v>177</v>
      </c>
      <c r="G367" s="55">
        <v>125</v>
      </c>
      <c r="H367" s="120">
        <v>502</v>
      </c>
      <c r="I367" s="57">
        <v>140</v>
      </c>
      <c r="J367" s="120">
        <v>150</v>
      </c>
      <c r="K367" s="120">
        <v>1</v>
      </c>
      <c r="L367" s="120">
        <v>50</v>
      </c>
      <c r="M367" s="120">
        <v>15</v>
      </c>
      <c r="N367" s="120">
        <v>40</v>
      </c>
      <c r="O367" s="120">
        <v>2</v>
      </c>
      <c r="P367" s="120">
        <v>5</v>
      </c>
      <c r="Q367" s="120">
        <v>131.30000305175801</v>
      </c>
      <c r="R367" s="120">
        <v>106</v>
      </c>
      <c r="S367" s="148">
        <v>21.100000381469702</v>
      </c>
      <c r="T367" s="120">
        <v>65</v>
      </c>
      <c r="U367" s="120">
        <v>16</v>
      </c>
      <c r="V367" s="120">
        <v>-9999</v>
      </c>
      <c r="W367" s="120">
        <v>-9999</v>
      </c>
      <c r="X367" s="120">
        <v>-9999</v>
      </c>
      <c r="Y367" s="120">
        <v>-9999</v>
      </c>
      <c r="Z367" s="120">
        <v>-9999</v>
      </c>
      <c r="AA367" s="120">
        <v>68</v>
      </c>
      <c r="AB367" s="120">
        <v>14.5</v>
      </c>
      <c r="AC367" s="120">
        <v>366</v>
      </c>
      <c r="AD367" s="120">
        <v>1638</v>
      </c>
      <c r="AE367" s="120">
        <v>-9999</v>
      </c>
      <c r="AF367" s="120">
        <v>-9999</v>
      </c>
      <c r="AG367" s="120">
        <v>-9999</v>
      </c>
    </row>
    <row r="368" spans="1:33" x14ac:dyDescent="0.25">
      <c r="A368" s="120">
        <v>367</v>
      </c>
      <c r="B368" s="120" t="b">
        <v>0</v>
      </c>
      <c r="C368" s="120">
        <v>0</v>
      </c>
      <c r="D368" s="61">
        <v>1</v>
      </c>
      <c r="E368" s="120">
        <v>1</v>
      </c>
      <c r="F368" s="120" t="s">
        <v>177</v>
      </c>
      <c r="G368" s="55">
        <v>125</v>
      </c>
      <c r="H368" s="120">
        <v>526</v>
      </c>
      <c r="I368" s="57">
        <v>140</v>
      </c>
      <c r="J368" s="120">
        <v>140</v>
      </c>
      <c r="K368" s="120">
        <v>2</v>
      </c>
      <c r="L368" s="120">
        <v>50</v>
      </c>
      <c r="M368" s="120">
        <v>15</v>
      </c>
      <c r="N368" s="120">
        <v>40</v>
      </c>
      <c r="O368" s="120">
        <v>2</v>
      </c>
      <c r="P368" s="120">
        <v>20</v>
      </c>
      <c r="Q368" s="120">
        <v>137.5</v>
      </c>
      <c r="R368" s="120">
        <v>111</v>
      </c>
      <c r="S368" s="148">
        <v>21.100000381469702</v>
      </c>
      <c r="T368" s="120">
        <v>65</v>
      </c>
      <c r="U368" s="120">
        <v>16</v>
      </c>
      <c r="V368" s="120">
        <v>-9999</v>
      </c>
      <c r="W368" s="120">
        <v>-9999</v>
      </c>
      <c r="X368" s="120">
        <v>-9999</v>
      </c>
      <c r="Y368" s="120">
        <v>-9999</v>
      </c>
      <c r="Z368" s="120">
        <v>-9999</v>
      </c>
      <c r="AA368" s="120">
        <v>68</v>
      </c>
      <c r="AB368" s="120">
        <v>14.5</v>
      </c>
      <c r="AC368" s="120">
        <v>367</v>
      </c>
      <c r="AD368" s="120">
        <v>1639</v>
      </c>
      <c r="AE368" s="120">
        <v>-9999</v>
      </c>
      <c r="AF368" s="120">
        <v>-9999</v>
      </c>
      <c r="AG368" s="120">
        <v>-9999</v>
      </c>
    </row>
    <row r="369" spans="1:33" x14ac:dyDescent="0.25">
      <c r="A369" s="120">
        <v>368</v>
      </c>
      <c r="B369" s="120" t="b">
        <v>0</v>
      </c>
      <c r="C369" s="120">
        <v>0</v>
      </c>
      <c r="D369" s="61">
        <v>1</v>
      </c>
      <c r="E369" s="120">
        <v>1</v>
      </c>
      <c r="F369" s="120" t="s">
        <v>177</v>
      </c>
      <c r="G369" s="55">
        <v>125</v>
      </c>
      <c r="H369" s="120">
        <v>526</v>
      </c>
      <c r="I369" s="57">
        <v>140</v>
      </c>
      <c r="J369" s="120">
        <v>140</v>
      </c>
      <c r="K369" s="120">
        <v>3</v>
      </c>
      <c r="L369" s="120">
        <v>40</v>
      </c>
      <c r="M369" s="120">
        <v>15</v>
      </c>
      <c r="N369" s="120">
        <v>40</v>
      </c>
      <c r="O369" s="120">
        <v>2</v>
      </c>
      <c r="P369" s="120">
        <v>16.666999816894499</v>
      </c>
      <c r="Q369" s="120">
        <v>137.5</v>
      </c>
      <c r="R369" s="120">
        <v>111</v>
      </c>
      <c r="S369" s="148">
        <v>21.100000381469702</v>
      </c>
      <c r="T369" s="120">
        <v>57</v>
      </c>
      <c r="U369" s="120">
        <v>16</v>
      </c>
      <c r="V369" s="120">
        <v>-9999</v>
      </c>
      <c r="W369" s="120">
        <v>-9999</v>
      </c>
      <c r="X369" s="120">
        <v>-9999</v>
      </c>
      <c r="Y369" s="120">
        <v>-9999</v>
      </c>
      <c r="Z369" s="120">
        <v>-9999</v>
      </c>
      <c r="AA369" s="120">
        <v>68</v>
      </c>
      <c r="AB369" s="120">
        <v>14.5</v>
      </c>
      <c r="AC369" s="120">
        <v>368</v>
      </c>
      <c r="AD369" s="120">
        <v>1640</v>
      </c>
      <c r="AE369" s="120">
        <v>-9999</v>
      </c>
      <c r="AF369" s="120">
        <v>-9999</v>
      </c>
      <c r="AG369" s="120">
        <v>-9999</v>
      </c>
    </row>
    <row r="370" spans="1:33" x14ac:dyDescent="0.25">
      <c r="A370" s="120">
        <v>369</v>
      </c>
      <c r="B370" s="120" t="b">
        <v>0</v>
      </c>
      <c r="C370" s="120">
        <v>0</v>
      </c>
      <c r="D370" s="61">
        <v>1</v>
      </c>
      <c r="E370" s="120">
        <v>1</v>
      </c>
      <c r="F370" s="120" t="s">
        <v>177</v>
      </c>
      <c r="G370" s="55">
        <v>125</v>
      </c>
      <c r="H370" s="120">
        <v>502</v>
      </c>
      <c r="I370" s="57">
        <v>140</v>
      </c>
      <c r="J370" s="120">
        <v>150</v>
      </c>
      <c r="K370" s="120">
        <v>4</v>
      </c>
      <c r="L370" s="120">
        <v>100</v>
      </c>
      <c r="M370" s="120">
        <v>15</v>
      </c>
      <c r="N370" s="120">
        <v>40</v>
      </c>
      <c r="O370" s="120">
        <v>2</v>
      </c>
      <c r="P370" s="120">
        <v>-9999</v>
      </c>
      <c r="Q370" s="120">
        <v>131.30000305175801</v>
      </c>
      <c r="R370" s="120">
        <v>106</v>
      </c>
      <c r="S370" s="148">
        <v>21.100000381469702</v>
      </c>
      <c r="T370" s="120">
        <v>-9999</v>
      </c>
      <c r="U370" s="120">
        <v>16</v>
      </c>
      <c r="V370" s="120">
        <v>-9999</v>
      </c>
      <c r="W370" s="120">
        <v>-9999</v>
      </c>
      <c r="X370" s="120">
        <v>-9999</v>
      </c>
      <c r="Y370" s="120">
        <v>-9999</v>
      </c>
      <c r="Z370" s="120">
        <v>-9999</v>
      </c>
      <c r="AA370" s="120">
        <v>68</v>
      </c>
      <c r="AB370" s="120">
        <v>14.5</v>
      </c>
      <c r="AC370" s="120">
        <v>369</v>
      </c>
      <c r="AD370" s="120">
        <v>1641</v>
      </c>
      <c r="AE370" s="120">
        <v>-9999</v>
      </c>
      <c r="AF370" s="120">
        <v>-9999</v>
      </c>
      <c r="AG370" s="120">
        <v>-9999</v>
      </c>
    </row>
    <row r="371" spans="1:33" x14ac:dyDescent="0.25">
      <c r="A371" s="120">
        <v>370</v>
      </c>
      <c r="B371" s="120" t="b">
        <v>0</v>
      </c>
      <c r="C371" s="120">
        <v>0</v>
      </c>
      <c r="D371" s="61">
        <v>1</v>
      </c>
      <c r="E371" s="120">
        <v>1</v>
      </c>
      <c r="F371" s="120" t="s">
        <v>177</v>
      </c>
      <c r="G371" s="55">
        <v>125</v>
      </c>
      <c r="H371" s="120">
        <v>502</v>
      </c>
      <c r="I371" s="57">
        <v>140</v>
      </c>
      <c r="J371" s="120">
        <v>150</v>
      </c>
      <c r="K371" s="120">
        <v>11</v>
      </c>
      <c r="L371" s="120">
        <v>60</v>
      </c>
      <c r="M371" s="120">
        <v>15</v>
      </c>
      <c r="N371" s="120">
        <v>40</v>
      </c>
      <c r="O371" s="120">
        <v>2</v>
      </c>
      <c r="P371" s="120">
        <v>25</v>
      </c>
      <c r="Q371" s="120">
        <v>131.30000305175801</v>
      </c>
      <c r="R371" s="120">
        <v>106</v>
      </c>
      <c r="S371" s="148">
        <v>21.100000381469702</v>
      </c>
      <c r="T371" s="120">
        <v>70</v>
      </c>
      <c r="U371" s="120">
        <v>16</v>
      </c>
      <c r="V371" s="120">
        <v>-9999</v>
      </c>
      <c r="W371" s="120">
        <v>-9999</v>
      </c>
      <c r="X371" s="120">
        <v>-9999</v>
      </c>
      <c r="Y371" s="120">
        <v>-9999</v>
      </c>
      <c r="Z371" s="120">
        <v>-9999</v>
      </c>
      <c r="AA371" s="120">
        <v>68</v>
      </c>
      <c r="AB371" s="120">
        <v>14.5</v>
      </c>
      <c r="AC371" s="120">
        <v>370</v>
      </c>
      <c r="AD371" s="120">
        <v>1642</v>
      </c>
      <c r="AE371" s="120">
        <v>-9999</v>
      </c>
      <c r="AF371" s="120">
        <v>-9999</v>
      </c>
      <c r="AG371" s="120">
        <v>-9999</v>
      </c>
    </row>
    <row r="372" spans="1:33" x14ac:dyDescent="0.25">
      <c r="A372" s="120">
        <v>371</v>
      </c>
      <c r="B372" s="120" t="b">
        <v>0</v>
      </c>
      <c r="C372" s="120">
        <v>0</v>
      </c>
      <c r="D372" s="61">
        <v>1</v>
      </c>
      <c r="E372" s="120">
        <v>1</v>
      </c>
      <c r="F372" s="120" t="s">
        <v>177</v>
      </c>
      <c r="G372" s="55">
        <v>125</v>
      </c>
      <c r="H372" s="120">
        <v>472</v>
      </c>
      <c r="I372" s="57">
        <v>150</v>
      </c>
      <c r="J372" s="120">
        <v>160</v>
      </c>
      <c r="K372" s="120">
        <v>1</v>
      </c>
      <c r="L372" s="120">
        <v>50</v>
      </c>
      <c r="M372" s="120">
        <v>15</v>
      </c>
      <c r="N372" s="120">
        <v>40</v>
      </c>
      <c r="O372" s="120">
        <v>2</v>
      </c>
      <c r="P372" s="120">
        <v>5</v>
      </c>
      <c r="Q372" s="120">
        <v>131.30000305175801</v>
      </c>
      <c r="R372" s="120">
        <v>106</v>
      </c>
      <c r="S372" s="148">
        <v>22.5</v>
      </c>
      <c r="T372" s="120">
        <v>65</v>
      </c>
      <c r="U372" s="120">
        <v>15</v>
      </c>
      <c r="V372" s="120">
        <v>-9999</v>
      </c>
      <c r="W372" s="120">
        <v>-9999</v>
      </c>
      <c r="X372" s="120">
        <v>-9999</v>
      </c>
      <c r="Y372" s="120">
        <v>-9999</v>
      </c>
      <c r="Z372" s="120">
        <v>-9999</v>
      </c>
      <c r="AA372" s="120">
        <v>68</v>
      </c>
      <c r="AB372" s="120">
        <v>14.5</v>
      </c>
      <c r="AC372" s="120">
        <v>371</v>
      </c>
      <c r="AD372" s="120">
        <v>1643</v>
      </c>
      <c r="AE372" s="120">
        <v>-9999</v>
      </c>
      <c r="AF372" s="120">
        <v>-9999</v>
      </c>
      <c r="AG372" s="120">
        <v>-9999</v>
      </c>
    </row>
    <row r="373" spans="1:33" x14ac:dyDescent="0.25">
      <c r="A373" s="120">
        <v>372</v>
      </c>
      <c r="B373" s="120" t="b">
        <v>0</v>
      </c>
      <c r="C373" s="120">
        <v>0</v>
      </c>
      <c r="D373" s="61">
        <v>1</v>
      </c>
      <c r="E373" s="120">
        <v>1</v>
      </c>
      <c r="F373" s="120" t="s">
        <v>177</v>
      </c>
      <c r="G373" s="55">
        <v>125</v>
      </c>
      <c r="H373" s="120">
        <v>494</v>
      </c>
      <c r="I373" s="57">
        <v>150</v>
      </c>
      <c r="J373" s="120">
        <v>150</v>
      </c>
      <c r="K373" s="120">
        <v>2</v>
      </c>
      <c r="L373" s="120">
        <v>50</v>
      </c>
      <c r="M373" s="120">
        <v>15</v>
      </c>
      <c r="N373" s="120">
        <v>40</v>
      </c>
      <c r="O373" s="120">
        <v>2</v>
      </c>
      <c r="P373" s="120">
        <v>20</v>
      </c>
      <c r="Q373" s="120">
        <v>137.5</v>
      </c>
      <c r="R373" s="120">
        <v>111</v>
      </c>
      <c r="S373" s="148">
        <v>22.5</v>
      </c>
      <c r="T373" s="120">
        <v>65</v>
      </c>
      <c r="U373" s="120">
        <v>15</v>
      </c>
      <c r="V373" s="120">
        <v>-9999</v>
      </c>
      <c r="W373" s="120">
        <v>-9999</v>
      </c>
      <c r="X373" s="120">
        <v>-9999</v>
      </c>
      <c r="Y373" s="120">
        <v>-9999</v>
      </c>
      <c r="Z373" s="120">
        <v>-9999</v>
      </c>
      <c r="AA373" s="120">
        <v>68</v>
      </c>
      <c r="AB373" s="120">
        <v>14.5</v>
      </c>
      <c r="AC373" s="120">
        <v>372</v>
      </c>
      <c r="AD373" s="120">
        <v>1644</v>
      </c>
      <c r="AE373" s="120">
        <v>-9999</v>
      </c>
      <c r="AF373" s="120">
        <v>-9999</v>
      </c>
      <c r="AG373" s="120">
        <v>-9999</v>
      </c>
    </row>
    <row r="374" spans="1:33" x14ac:dyDescent="0.25">
      <c r="A374" s="120">
        <v>373</v>
      </c>
      <c r="B374" s="120" t="b">
        <v>0</v>
      </c>
      <c r="C374" s="120">
        <v>0</v>
      </c>
      <c r="D374" s="61">
        <v>1</v>
      </c>
      <c r="E374" s="120">
        <v>1</v>
      </c>
      <c r="F374" s="120" t="s">
        <v>177</v>
      </c>
      <c r="G374" s="55">
        <v>125</v>
      </c>
      <c r="H374" s="120">
        <v>494</v>
      </c>
      <c r="I374" s="57">
        <v>150</v>
      </c>
      <c r="J374" s="120">
        <v>150</v>
      </c>
      <c r="K374" s="120">
        <v>3</v>
      </c>
      <c r="L374" s="120">
        <v>40</v>
      </c>
      <c r="M374" s="120">
        <v>15</v>
      </c>
      <c r="N374" s="120">
        <v>40</v>
      </c>
      <c r="O374" s="120">
        <v>2</v>
      </c>
      <c r="P374" s="120">
        <v>16.666999816894499</v>
      </c>
      <c r="Q374" s="120">
        <v>137.5</v>
      </c>
      <c r="R374" s="120">
        <v>111</v>
      </c>
      <c r="S374" s="148">
        <v>22.5</v>
      </c>
      <c r="T374" s="120">
        <v>57</v>
      </c>
      <c r="U374" s="120">
        <v>15</v>
      </c>
      <c r="V374" s="120">
        <v>-9999</v>
      </c>
      <c r="W374" s="120">
        <v>-9999</v>
      </c>
      <c r="X374" s="120">
        <v>-9999</v>
      </c>
      <c r="Y374" s="120">
        <v>-9999</v>
      </c>
      <c r="Z374" s="120">
        <v>-9999</v>
      </c>
      <c r="AA374" s="120">
        <v>68</v>
      </c>
      <c r="AB374" s="120">
        <v>14.5</v>
      </c>
      <c r="AC374" s="120">
        <v>373</v>
      </c>
      <c r="AD374" s="120">
        <v>1645</v>
      </c>
      <c r="AE374" s="120">
        <v>-9999</v>
      </c>
      <c r="AF374" s="120">
        <v>-9999</v>
      </c>
      <c r="AG374" s="120">
        <v>-9999</v>
      </c>
    </row>
    <row r="375" spans="1:33" x14ac:dyDescent="0.25">
      <c r="A375" s="120">
        <v>374</v>
      </c>
      <c r="B375" s="120" t="b">
        <v>0</v>
      </c>
      <c r="C375" s="120">
        <v>0</v>
      </c>
      <c r="D375" s="61">
        <v>1</v>
      </c>
      <c r="E375" s="120">
        <v>1</v>
      </c>
      <c r="F375" s="120" t="s">
        <v>177</v>
      </c>
      <c r="G375" s="55">
        <v>125</v>
      </c>
      <c r="H375" s="120">
        <v>472</v>
      </c>
      <c r="I375" s="57">
        <v>150</v>
      </c>
      <c r="J375" s="120">
        <v>160</v>
      </c>
      <c r="K375" s="120">
        <v>4</v>
      </c>
      <c r="L375" s="120">
        <v>100</v>
      </c>
      <c r="M375" s="120">
        <v>15</v>
      </c>
      <c r="N375" s="120">
        <v>40</v>
      </c>
      <c r="O375" s="120">
        <v>2</v>
      </c>
      <c r="P375" s="120">
        <v>-9999</v>
      </c>
      <c r="Q375" s="120">
        <v>131.30000305175801</v>
      </c>
      <c r="R375" s="120">
        <v>106</v>
      </c>
      <c r="S375" s="148">
        <v>22.5</v>
      </c>
      <c r="T375" s="120">
        <v>-9999</v>
      </c>
      <c r="U375" s="120">
        <v>15</v>
      </c>
      <c r="V375" s="120">
        <v>-9999</v>
      </c>
      <c r="W375" s="120">
        <v>-9999</v>
      </c>
      <c r="X375" s="120">
        <v>-9999</v>
      </c>
      <c r="Y375" s="120">
        <v>-9999</v>
      </c>
      <c r="Z375" s="120">
        <v>-9999</v>
      </c>
      <c r="AA375" s="120">
        <v>68</v>
      </c>
      <c r="AB375" s="120">
        <v>14.5</v>
      </c>
      <c r="AC375" s="120">
        <v>374</v>
      </c>
      <c r="AD375" s="120">
        <v>1646</v>
      </c>
      <c r="AE375" s="120">
        <v>-9999</v>
      </c>
      <c r="AF375" s="120">
        <v>-9999</v>
      </c>
      <c r="AG375" s="120">
        <v>-9999</v>
      </c>
    </row>
    <row r="376" spans="1:33" x14ac:dyDescent="0.25">
      <c r="A376" s="120">
        <v>375</v>
      </c>
      <c r="B376" s="120" t="b">
        <v>0</v>
      </c>
      <c r="C376" s="120">
        <v>0</v>
      </c>
      <c r="D376" s="61">
        <v>1</v>
      </c>
      <c r="E376" s="120">
        <v>1</v>
      </c>
      <c r="F376" s="120" t="s">
        <v>177</v>
      </c>
      <c r="G376" s="55">
        <v>125</v>
      </c>
      <c r="H376" s="120">
        <v>472</v>
      </c>
      <c r="I376" s="57">
        <v>150</v>
      </c>
      <c r="J376" s="120">
        <v>160</v>
      </c>
      <c r="K376" s="120">
        <v>11</v>
      </c>
      <c r="L376" s="120">
        <v>60</v>
      </c>
      <c r="M376" s="120">
        <v>15</v>
      </c>
      <c r="N376" s="120">
        <v>40</v>
      </c>
      <c r="O376" s="120">
        <v>2</v>
      </c>
      <c r="P376" s="120">
        <v>25</v>
      </c>
      <c r="Q376" s="120">
        <v>131.30000305175801</v>
      </c>
      <c r="R376" s="120">
        <v>106</v>
      </c>
      <c r="S376" s="148">
        <v>22.5</v>
      </c>
      <c r="T376" s="120">
        <v>70</v>
      </c>
      <c r="U376" s="120">
        <v>15</v>
      </c>
      <c r="V376" s="120">
        <v>-9999</v>
      </c>
      <c r="W376" s="120">
        <v>-9999</v>
      </c>
      <c r="X376" s="120">
        <v>-9999</v>
      </c>
      <c r="Y376" s="120">
        <v>-9999</v>
      </c>
      <c r="Z376" s="120">
        <v>-9999</v>
      </c>
      <c r="AA376" s="120">
        <v>68</v>
      </c>
      <c r="AB376" s="120">
        <v>14.5</v>
      </c>
      <c r="AC376" s="120">
        <v>375</v>
      </c>
      <c r="AD376" s="120">
        <v>1647</v>
      </c>
      <c r="AE376" s="120">
        <v>-9999</v>
      </c>
      <c r="AF376" s="120">
        <v>-9999</v>
      </c>
      <c r="AG376" s="120">
        <v>-9999</v>
      </c>
    </row>
    <row r="377" spans="1:33" x14ac:dyDescent="0.25">
      <c r="A377" s="120">
        <v>376</v>
      </c>
      <c r="B377" s="120" t="b">
        <v>0</v>
      </c>
      <c r="C377" s="120">
        <v>0</v>
      </c>
      <c r="D377" s="61">
        <v>1</v>
      </c>
      <c r="E377" s="120">
        <v>1</v>
      </c>
      <c r="F377" s="120" t="s">
        <v>177</v>
      </c>
      <c r="G377" s="55">
        <v>125</v>
      </c>
      <c r="H377" s="120">
        <v>427</v>
      </c>
      <c r="I377" s="57">
        <v>175</v>
      </c>
      <c r="J377" s="120">
        <v>185</v>
      </c>
      <c r="K377" s="120">
        <v>1</v>
      </c>
      <c r="L377" s="120">
        <v>50</v>
      </c>
      <c r="M377" s="120">
        <v>15</v>
      </c>
      <c r="N377" s="120">
        <v>40</v>
      </c>
      <c r="O377" s="120">
        <v>2</v>
      </c>
      <c r="P377" s="120">
        <v>5</v>
      </c>
      <c r="Q377" s="120">
        <v>131.30000305175801</v>
      </c>
      <c r="R377" s="120">
        <v>106</v>
      </c>
      <c r="S377" s="148">
        <v>24.799999237060501</v>
      </c>
      <c r="T377" s="120">
        <v>65</v>
      </c>
      <c r="U377" s="120">
        <v>15</v>
      </c>
      <c r="V377" s="120">
        <v>-9999</v>
      </c>
      <c r="W377" s="120">
        <v>-9999</v>
      </c>
      <c r="X377" s="120">
        <v>-9999</v>
      </c>
      <c r="Y377" s="120">
        <v>-9999</v>
      </c>
      <c r="Z377" s="120">
        <v>-9999</v>
      </c>
      <c r="AA377" s="120">
        <v>68</v>
      </c>
      <c r="AB377" s="120">
        <v>14.5</v>
      </c>
      <c r="AC377" s="120">
        <v>376</v>
      </c>
      <c r="AD377" s="120">
        <v>1648</v>
      </c>
      <c r="AE377" s="120">
        <v>-9999</v>
      </c>
      <c r="AF377" s="120">
        <v>-9999</v>
      </c>
      <c r="AG377" s="120">
        <v>-9999</v>
      </c>
    </row>
    <row r="378" spans="1:33" x14ac:dyDescent="0.25">
      <c r="A378" s="120">
        <v>377</v>
      </c>
      <c r="B378" s="120" t="b">
        <v>0</v>
      </c>
      <c r="C378" s="120">
        <v>0</v>
      </c>
      <c r="D378" s="61">
        <v>1</v>
      </c>
      <c r="E378" s="120">
        <v>1</v>
      </c>
      <c r="F378" s="120" t="s">
        <v>177</v>
      </c>
      <c r="G378" s="55">
        <v>125</v>
      </c>
      <c r="H378" s="120">
        <v>447</v>
      </c>
      <c r="I378" s="57">
        <v>175</v>
      </c>
      <c r="J378" s="120">
        <v>175</v>
      </c>
      <c r="K378" s="120">
        <v>2</v>
      </c>
      <c r="L378" s="120">
        <v>50</v>
      </c>
      <c r="M378" s="120">
        <v>15</v>
      </c>
      <c r="N378" s="120">
        <v>40</v>
      </c>
      <c r="O378" s="120">
        <v>2</v>
      </c>
      <c r="P378" s="120">
        <v>20</v>
      </c>
      <c r="Q378" s="120">
        <v>137.5</v>
      </c>
      <c r="R378" s="120">
        <v>111</v>
      </c>
      <c r="S378" s="148">
        <v>24.799999237060501</v>
      </c>
      <c r="T378" s="120">
        <v>65</v>
      </c>
      <c r="U378" s="120">
        <v>15</v>
      </c>
      <c r="V378" s="120">
        <v>-9999</v>
      </c>
      <c r="W378" s="120">
        <v>-9999</v>
      </c>
      <c r="X378" s="120">
        <v>-9999</v>
      </c>
      <c r="Y378" s="120">
        <v>-9999</v>
      </c>
      <c r="Z378" s="120">
        <v>-9999</v>
      </c>
      <c r="AA378" s="120">
        <v>68</v>
      </c>
      <c r="AB378" s="120">
        <v>14.5</v>
      </c>
      <c r="AC378" s="120">
        <v>377</v>
      </c>
      <c r="AD378" s="120">
        <v>1649</v>
      </c>
      <c r="AE378" s="120">
        <v>-9999</v>
      </c>
      <c r="AF378" s="120">
        <v>-9999</v>
      </c>
      <c r="AG378" s="120">
        <v>-9999</v>
      </c>
    </row>
    <row r="379" spans="1:33" x14ac:dyDescent="0.25">
      <c r="A379" s="120">
        <v>378</v>
      </c>
      <c r="B379" s="120" t="b">
        <v>0</v>
      </c>
      <c r="C379" s="120">
        <v>0</v>
      </c>
      <c r="D379" s="61">
        <v>1</v>
      </c>
      <c r="E379" s="120">
        <v>1</v>
      </c>
      <c r="F379" s="120" t="s">
        <v>177</v>
      </c>
      <c r="G379" s="55">
        <v>125</v>
      </c>
      <c r="H379" s="120">
        <v>447</v>
      </c>
      <c r="I379" s="57">
        <v>175</v>
      </c>
      <c r="J379" s="120">
        <v>175</v>
      </c>
      <c r="K379" s="120">
        <v>3</v>
      </c>
      <c r="L379" s="120">
        <v>40</v>
      </c>
      <c r="M379" s="120">
        <v>15</v>
      </c>
      <c r="N379" s="120">
        <v>40</v>
      </c>
      <c r="O379" s="120">
        <v>2</v>
      </c>
      <c r="P379" s="120">
        <v>16.666999816894499</v>
      </c>
      <c r="Q379" s="120">
        <v>137.5</v>
      </c>
      <c r="R379" s="120">
        <v>111</v>
      </c>
      <c r="S379" s="148">
        <v>24.799999237060501</v>
      </c>
      <c r="T379" s="120">
        <v>57</v>
      </c>
      <c r="U379" s="120">
        <v>15</v>
      </c>
      <c r="V379" s="120">
        <v>-9999</v>
      </c>
      <c r="W379" s="120">
        <v>-9999</v>
      </c>
      <c r="X379" s="120">
        <v>-9999</v>
      </c>
      <c r="Y379" s="120">
        <v>-9999</v>
      </c>
      <c r="Z379" s="120">
        <v>-9999</v>
      </c>
      <c r="AA379" s="120">
        <v>68</v>
      </c>
      <c r="AB379" s="120">
        <v>14.5</v>
      </c>
      <c r="AC379" s="120">
        <v>378</v>
      </c>
      <c r="AD379" s="120">
        <v>1650</v>
      </c>
      <c r="AE379" s="120">
        <v>-9999</v>
      </c>
      <c r="AF379" s="120">
        <v>-9999</v>
      </c>
      <c r="AG379" s="120">
        <v>-9999</v>
      </c>
    </row>
    <row r="380" spans="1:33" x14ac:dyDescent="0.25">
      <c r="A380" s="120">
        <v>379</v>
      </c>
      <c r="B380" s="120" t="b">
        <v>0</v>
      </c>
      <c r="C380" s="120">
        <v>0</v>
      </c>
      <c r="D380" s="61">
        <v>1</v>
      </c>
      <c r="E380" s="120">
        <v>1</v>
      </c>
      <c r="F380" s="120" t="s">
        <v>177</v>
      </c>
      <c r="G380" s="55">
        <v>125</v>
      </c>
      <c r="H380" s="120">
        <v>427</v>
      </c>
      <c r="I380" s="57">
        <v>175</v>
      </c>
      <c r="J380" s="120">
        <v>185</v>
      </c>
      <c r="K380" s="120">
        <v>4</v>
      </c>
      <c r="L380" s="120">
        <v>100</v>
      </c>
      <c r="M380" s="120">
        <v>15</v>
      </c>
      <c r="N380" s="120">
        <v>40</v>
      </c>
      <c r="O380" s="120">
        <v>2</v>
      </c>
      <c r="P380" s="120">
        <v>-9999</v>
      </c>
      <c r="Q380" s="120">
        <v>131.30000305175801</v>
      </c>
      <c r="R380" s="120">
        <v>106</v>
      </c>
      <c r="S380" s="148">
        <v>24.799999237060501</v>
      </c>
      <c r="T380" s="120">
        <v>-9999</v>
      </c>
      <c r="U380" s="120">
        <v>15</v>
      </c>
      <c r="V380" s="120">
        <v>-9999</v>
      </c>
      <c r="W380" s="120">
        <v>-9999</v>
      </c>
      <c r="X380" s="120">
        <v>-9999</v>
      </c>
      <c r="Y380" s="120">
        <v>-9999</v>
      </c>
      <c r="Z380" s="120">
        <v>-9999</v>
      </c>
      <c r="AA380" s="120">
        <v>68</v>
      </c>
      <c r="AB380" s="120">
        <v>14.5</v>
      </c>
      <c r="AC380" s="120">
        <v>379</v>
      </c>
      <c r="AD380" s="120">
        <v>1651</v>
      </c>
      <c r="AE380" s="120">
        <v>-9999</v>
      </c>
      <c r="AF380" s="120">
        <v>-9999</v>
      </c>
      <c r="AG380" s="120">
        <v>-9999</v>
      </c>
    </row>
    <row r="381" spans="1:33" x14ac:dyDescent="0.25">
      <c r="A381" s="120">
        <v>380</v>
      </c>
      <c r="B381" s="120" t="b">
        <v>0</v>
      </c>
      <c r="C381" s="120">
        <v>0</v>
      </c>
      <c r="D381" s="61">
        <v>1</v>
      </c>
      <c r="E381" s="120">
        <v>1</v>
      </c>
      <c r="F381" s="120" t="s">
        <v>177</v>
      </c>
      <c r="G381" s="55">
        <v>125</v>
      </c>
      <c r="H381" s="120">
        <v>427</v>
      </c>
      <c r="I381" s="57">
        <v>175</v>
      </c>
      <c r="J381" s="120">
        <v>185</v>
      </c>
      <c r="K381" s="120">
        <v>11</v>
      </c>
      <c r="L381" s="120">
        <v>60</v>
      </c>
      <c r="M381" s="120">
        <v>15</v>
      </c>
      <c r="N381" s="120">
        <v>40</v>
      </c>
      <c r="O381" s="120">
        <v>2</v>
      </c>
      <c r="P381" s="120">
        <v>25</v>
      </c>
      <c r="Q381" s="120">
        <v>131.30000305175801</v>
      </c>
      <c r="R381" s="120">
        <v>106</v>
      </c>
      <c r="S381" s="148">
        <v>24.799999237060501</v>
      </c>
      <c r="T381" s="120">
        <v>70</v>
      </c>
      <c r="U381" s="120">
        <v>15</v>
      </c>
      <c r="V381" s="120">
        <v>-9999</v>
      </c>
      <c r="W381" s="120">
        <v>-9999</v>
      </c>
      <c r="X381" s="120">
        <v>-9999</v>
      </c>
      <c r="Y381" s="120">
        <v>-9999</v>
      </c>
      <c r="Z381" s="120">
        <v>-9999</v>
      </c>
      <c r="AA381" s="120">
        <v>68</v>
      </c>
      <c r="AB381" s="120">
        <v>14.5</v>
      </c>
      <c r="AC381" s="120">
        <v>380</v>
      </c>
      <c r="AD381" s="120">
        <v>1652</v>
      </c>
      <c r="AE381" s="120">
        <v>-9999</v>
      </c>
      <c r="AF381" s="120">
        <v>-9999</v>
      </c>
      <c r="AG381" s="120">
        <v>-9999</v>
      </c>
    </row>
    <row r="382" spans="1:33" x14ac:dyDescent="0.25">
      <c r="A382" s="120">
        <v>381</v>
      </c>
      <c r="B382" s="120" t="b">
        <v>0</v>
      </c>
      <c r="C382" s="120">
        <v>0</v>
      </c>
      <c r="D382" s="61">
        <v>1</v>
      </c>
      <c r="E382" s="120">
        <v>1</v>
      </c>
      <c r="F382" s="120" t="s">
        <v>177</v>
      </c>
      <c r="G382" s="55">
        <v>125</v>
      </c>
      <c r="H382" s="120">
        <v>355</v>
      </c>
      <c r="I382" s="57">
        <v>200</v>
      </c>
      <c r="J382" s="120">
        <v>210</v>
      </c>
      <c r="K382" s="120">
        <v>1</v>
      </c>
      <c r="L382" s="120">
        <v>50</v>
      </c>
      <c r="M382" s="120">
        <v>15</v>
      </c>
      <c r="N382" s="120">
        <v>40</v>
      </c>
      <c r="O382" s="120">
        <v>2</v>
      </c>
      <c r="P382" s="120">
        <v>5</v>
      </c>
      <c r="Q382" s="120">
        <v>131.30000305175801</v>
      </c>
      <c r="R382" s="120">
        <v>106</v>
      </c>
      <c r="S382" s="148">
        <v>29.899999618530298</v>
      </c>
      <c r="T382" s="120">
        <v>65</v>
      </c>
      <c r="U382" s="120">
        <v>15</v>
      </c>
      <c r="V382" s="120">
        <v>-9999</v>
      </c>
      <c r="W382" s="120">
        <v>-9999</v>
      </c>
      <c r="X382" s="120">
        <v>-9999</v>
      </c>
      <c r="Y382" s="120">
        <v>-9999</v>
      </c>
      <c r="Z382" s="120">
        <v>-9999</v>
      </c>
      <c r="AA382" s="120">
        <v>68</v>
      </c>
      <c r="AB382" s="120">
        <v>14.5</v>
      </c>
      <c r="AC382" s="120">
        <v>381</v>
      </c>
      <c r="AD382" s="120">
        <v>1653</v>
      </c>
      <c r="AE382" s="120">
        <v>-9999</v>
      </c>
      <c r="AF382" s="120">
        <v>-9999</v>
      </c>
      <c r="AG382" s="120">
        <v>-9999</v>
      </c>
    </row>
    <row r="383" spans="1:33" x14ac:dyDescent="0.25">
      <c r="A383" s="120">
        <v>382</v>
      </c>
      <c r="B383" s="120" t="b">
        <v>0</v>
      </c>
      <c r="C383" s="120">
        <v>0</v>
      </c>
      <c r="D383" s="61">
        <v>1</v>
      </c>
      <c r="E383" s="120">
        <v>1</v>
      </c>
      <c r="F383" s="120" t="s">
        <v>177</v>
      </c>
      <c r="G383" s="55">
        <v>125</v>
      </c>
      <c r="H383" s="120">
        <v>372</v>
      </c>
      <c r="I383" s="57">
        <v>200</v>
      </c>
      <c r="J383" s="120">
        <v>200</v>
      </c>
      <c r="K383" s="120">
        <v>2</v>
      </c>
      <c r="L383" s="120">
        <v>50</v>
      </c>
      <c r="M383" s="120">
        <v>15</v>
      </c>
      <c r="N383" s="120">
        <v>40</v>
      </c>
      <c r="O383" s="120">
        <v>2</v>
      </c>
      <c r="P383" s="120">
        <v>20</v>
      </c>
      <c r="Q383" s="120">
        <v>137.5</v>
      </c>
      <c r="R383" s="120">
        <v>111</v>
      </c>
      <c r="S383" s="148">
        <v>29.899999618530298</v>
      </c>
      <c r="T383" s="120">
        <v>65</v>
      </c>
      <c r="U383" s="120">
        <v>15</v>
      </c>
      <c r="V383" s="120">
        <v>-9999</v>
      </c>
      <c r="W383" s="120">
        <v>-9999</v>
      </c>
      <c r="X383" s="120">
        <v>-9999</v>
      </c>
      <c r="Y383" s="120">
        <v>-9999</v>
      </c>
      <c r="Z383" s="120">
        <v>-9999</v>
      </c>
      <c r="AA383" s="120">
        <v>68</v>
      </c>
      <c r="AB383" s="120">
        <v>14.5</v>
      </c>
      <c r="AC383" s="120">
        <v>382</v>
      </c>
      <c r="AD383" s="120">
        <v>1654</v>
      </c>
      <c r="AE383" s="120">
        <v>-9999</v>
      </c>
      <c r="AF383" s="120">
        <v>-9999</v>
      </c>
      <c r="AG383" s="120">
        <v>-9999</v>
      </c>
    </row>
    <row r="384" spans="1:33" x14ac:dyDescent="0.25">
      <c r="A384" s="120">
        <v>383</v>
      </c>
      <c r="B384" s="120" t="b">
        <v>0</v>
      </c>
      <c r="C384" s="120">
        <v>0</v>
      </c>
      <c r="D384" s="61">
        <v>1</v>
      </c>
      <c r="E384" s="120">
        <v>1</v>
      </c>
      <c r="F384" s="120" t="s">
        <v>177</v>
      </c>
      <c r="G384" s="55">
        <v>125</v>
      </c>
      <c r="H384" s="120">
        <v>372</v>
      </c>
      <c r="I384" s="57">
        <v>200</v>
      </c>
      <c r="J384" s="120">
        <v>200</v>
      </c>
      <c r="K384" s="120">
        <v>3</v>
      </c>
      <c r="L384" s="120">
        <v>40</v>
      </c>
      <c r="M384" s="120">
        <v>15</v>
      </c>
      <c r="N384" s="120">
        <v>40</v>
      </c>
      <c r="O384" s="120">
        <v>2</v>
      </c>
      <c r="P384" s="120">
        <v>16.666999816894499</v>
      </c>
      <c r="Q384" s="120">
        <v>137.5</v>
      </c>
      <c r="R384" s="120">
        <v>111</v>
      </c>
      <c r="S384" s="148">
        <v>29.899999618530298</v>
      </c>
      <c r="T384" s="120">
        <v>57</v>
      </c>
      <c r="U384" s="120">
        <v>15</v>
      </c>
      <c r="V384" s="120">
        <v>-9999</v>
      </c>
      <c r="W384" s="120">
        <v>-9999</v>
      </c>
      <c r="X384" s="120">
        <v>-9999</v>
      </c>
      <c r="Y384" s="120">
        <v>-9999</v>
      </c>
      <c r="Z384" s="120">
        <v>-9999</v>
      </c>
      <c r="AA384" s="120">
        <v>68</v>
      </c>
      <c r="AB384" s="120">
        <v>14.5</v>
      </c>
      <c r="AC384" s="120">
        <v>383</v>
      </c>
      <c r="AD384" s="120">
        <v>1655</v>
      </c>
      <c r="AE384" s="120">
        <v>-9999</v>
      </c>
      <c r="AF384" s="120">
        <v>-9999</v>
      </c>
      <c r="AG384" s="120">
        <v>-9999</v>
      </c>
    </row>
    <row r="385" spans="1:33" x14ac:dyDescent="0.25">
      <c r="A385" s="120">
        <v>384</v>
      </c>
      <c r="B385" s="120" t="b">
        <v>0</v>
      </c>
      <c r="C385" s="120">
        <v>0</v>
      </c>
      <c r="D385" s="61">
        <v>1</v>
      </c>
      <c r="E385" s="120">
        <v>1</v>
      </c>
      <c r="F385" s="120" t="s">
        <v>177</v>
      </c>
      <c r="G385" s="55">
        <v>125</v>
      </c>
      <c r="H385" s="120">
        <v>355</v>
      </c>
      <c r="I385" s="57">
        <v>200</v>
      </c>
      <c r="J385" s="120">
        <v>210</v>
      </c>
      <c r="K385" s="120">
        <v>4</v>
      </c>
      <c r="L385" s="120">
        <v>100</v>
      </c>
      <c r="M385" s="120">
        <v>15</v>
      </c>
      <c r="N385" s="120">
        <v>40</v>
      </c>
      <c r="O385" s="120">
        <v>2</v>
      </c>
      <c r="P385" s="120">
        <v>-9999</v>
      </c>
      <c r="Q385" s="120">
        <v>131.30000305175801</v>
      </c>
      <c r="R385" s="120">
        <v>106</v>
      </c>
      <c r="S385" s="148">
        <v>29.899999618530298</v>
      </c>
      <c r="T385" s="120">
        <v>-9999</v>
      </c>
      <c r="U385" s="120">
        <v>15</v>
      </c>
      <c r="V385" s="120">
        <v>-9999</v>
      </c>
      <c r="W385" s="120">
        <v>-9999</v>
      </c>
      <c r="X385" s="120">
        <v>-9999</v>
      </c>
      <c r="Y385" s="120">
        <v>-9999</v>
      </c>
      <c r="Z385" s="120">
        <v>-9999</v>
      </c>
      <c r="AA385" s="120">
        <v>68</v>
      </c>
      <c r="AB385" s="120">
        <v>14.5</v>
      </c>
      <c r="AC385" s="120">
        <v>384</v>
      </c>
      <c r="AD385" s="120">
        <v>1656</v>
      </c>
      <c r="AE385" s="120">
        <v>-9999</v>
      </c>
      <c r="AF385" s="120">
        <v>-9999</v>
      </c>
      <c r="AG385" s="120">
        <v>-9999</v>
      </c>
    </row>
    <row r="386" spans="1:33" x14ac:dyDescent="0.25">
      <c r="A386" s="120">
        <v>385</v>
      </c>
      <c r="B386" s="120" t="b">
        <v>0</v>
      </c>
      <c r="C386" s="120">
        <v>0</v>
      </c>
      <c r="D386" s="61">
        <v>1</v>
      </c>
      <c r="E386" s="120">
        <v>1</v>
      </c>
      <c r="F386" s="120" t="s">
        <v>177</v>
      </c>
      <c r="G386" s="55">
        <v>125</v>
      </c>
      <c r="H386" s="120">
        <v>355</v>
      </c>
      <c r="I386" s="57">
        <v>200</v>
      </c>
      <c r="J386" s="120">
        <v>210</v>
      </c>
      <c r="K386" s="120">
        <v>11</v>
      </c>
      <c r="L386" s="120">
        <v>60</v>
      </c>
      <c r="M386" s="120">
        <v>15</v>
      </c>
      <c r="N386" s="120">
        <v>40</v>
      </c>
      <c r="O386" s="120">
        <v>2</v>
      </c>
      <c r="P386" s="120">
        <v>25</v>
      </c>
      <c r="Q386" s="120">
        <v>131.30000305175801</v>
      </c>
      <c r="R386" s="120">
        <v>106</v>
      </c>
      <c r="S386" s="148">
        <v>29.899999618530298</v>
      </c>
      <c r="T386" s="120">
        <v>70</v>
      </c>
      <c r="U386" s="120">
        <v>15</v>
      </c>
      <c r="V386" s="120">
        <v>-9999</v>
      </c>
      <c r="W386" s="120">
        <v>-9999</v>
      </c>
      <c r="X386" s="120">
        <v>-9999</v>
      </c>
      <c r="Y386" s="120">
        <v>-9999</v>
      </c>
      <c r="Z386" s="120">
        <v>-9999</v>
      </c>
      <c r="AA386" s="120">
        <v>68</v>
      </c>
      <c r="AB386" s="120">
        <v>14.5</v>
      </c>
      <c r="AC386" s="120">
        <v>385</v>
      </c>
      <c r="AD386" s="120">
        <v>1657</v>
      </c>
      <c r="AE386" s="120">
        <v>-9999</v>
      </c>
      <c r="AF386" s="120">
        <v>-9999</v>
      </c>
      <c r="AG386" s="120">
        <v>-9999</v>
      </c>
    </row>
    <row r="387" spans="1:33" x14ac:dyDescent="0.25">
      <c r="A387" s="120">
        <v>386</v>
      </c>
      <c r="B387" s="120" t="b">
        <v>0</v>
      </c>
      <c r="C387" s="120">
        <v>0</v>
      </c>
      <c r="D387" s="61">
        <v>1</v>
      </c>
      <c r="E387" s="120">
        <v>1</v>
      </c>
      <c r="F387" s="120" t="s">
        <v>178</v>
      </c>
      <c r="G387" s="55">
        <v>150</v>
      </c>
      <c r="H387" s="120">
        <v>729</v>
      </c>
      <c r="I387" s="57">
        <v>100</v>
      </c>
      <c r="J387" s="120">
        <v>110</v>
      </c>
      <c r="K387" s="120">
        <v>1</v>
      </c>
      <c r="L387" s="120">
        <v>50</v>
      </c>
      <c r="M387" s="120">
        <v>15</v>
      </c>
      <c r="N387" s="120">
        <v>40</v>
      </c>
      <c r="O387" s="120">
        <v>2</v>
      </c>
      <c r="P387" s="120">
        <v>5</v>
      </c>
      <c r="Q387" s="120">
        <v>157.5</v>
      </c>
      <c r="R387" s="120">
        <v>126.300003051758</v>
      </c>
      <c r="S387" s="148">
        <v>17.299999237060501</v>
      </c>
      <c r="T387" s="120">
        <v>65</v>
      </c>
      <c r="U387" s="120">
        <v>20</v>
      </c>
      <c r="V387" s="120">
        <v>-9999</v>
      </c>
      <c r="W387" s="120">
        <v>-9999</v>
      </c>
      <c r="X387" s="120">
        <v>-9999</v>
      </c>
      <c r="Y387" s="120">
        <v>-9999</v>
      </c>
      <c r="Z387" s="120">
        <v>-9999</v>
      </c>
      <c r="AA387" s="120">
        <v>68</v>
      </c>
      <c r="AB387" s="120">
        <v>14.5</v>
      </c>
      <c r="AC387" s="120">
        <v>386</v>
      </c>
      <c r="AD387" s="120">
        <v>1658</v>
      </c>
      <c r="AE387" s="120">
        <v>-9999</v>
      </c>
      <c r="AF387" s="120">
        <v>-9999</v>
      </c>
      <c r="AG387" s="120">
        <v>-9999</v>
      </c>
    </row>
    <row r="388" spans="1:33" x14ac:dyDescent="0.25">
      <c r="A388" s="120">
        <v>387</v>
      </c>
      <c r="B388" s="120" t="b">
        <v>0</v>
      </c>
      <c r="C388" s="120">
        <v>0</v>
      </c>
      <c r="D388" s="61">
        <v>1</v>
      </c>
      <c r="E388" s="120">
        <v>1</v>
      </c>
      <c r="F388" s="120" t="s">
        <v>178</v>
      </c>
      <c r="G388" s="55">
        <v>150</v>
      </c>
      <c r="H388" s="120">
        <v>764</v>
      </c>
      <c r="I388" s="57">
        <v>100</v>
      </c>
      <c r="J388" s="120">
        <v>100</v>
      </c>
      <c r="K388" s="120">
        <v>2</v>
      </c>
      <c r="L388" s="120">
        <v>50</v>
      </c>
      <c r="M388" s="120">
        <v>15</v>
      </c>
      <c r="N388" s="120">
        <v>40</v>
      </c>
      <c r="O388" s="120">
        <v>2</v>
      </c>
      <c r="P388" s="120">
        <v>20</v>
      </c>
      <c r="Q388" s="120">
        <v>165</v>
      </c>
      <c r="R388" s="120">
        <v>132.39999389648401</v>
      </c>
      <c r="S388" s="148">
        <v>17.299999237060501</v>
      </c>
      <c r="T388" s="120">
        <v>65</v>
      </c>
      <c r="U388" s="120">
        <v>20</v>
      </c>
      <c r="V388" s="120">
        <v>-9999</v>
      </c>
      <c r="W388" s="120">
        <v>-9999</v>
      </c>
      <c r="X388" s="120">
        <v>-9999</v>
      </c>
      <c r="Y388" s="120">
        <v>-9999</v>
      </c>
      <c r="Z388" s="120">
        <v>-9999</v>
      </c>
      <c r="AA388" s="120">
        <v>68</v>
      </c>
      <c r="AB388" s="120">
        <v>14.5</v>
      </c>
      <c r="AC388" s="120">
        <v>387</v>
      </c>
      <c r="AD388" s="120">
        <v>1659</v>
      </c>
      <c r="AE388" s="120">
        <v>-9999</v>
      </c>
      <c r="AF388" s="120">
        <v>-9999</v>
      </c>
      <c r="AG388" s="120">
        <v>-9999</v>
      </c>
    </row>
    <row r="389" spans="1:33" x14ac:dyDescent="0.25">
      <c r="A389" s="120">
        <v>388</v>
      </c>
      <c r="B389" s="120" t="b">
        <v>0</v>
      </c>
      <c r="C389" s="120">
        <v>0</v>
      </c>
      <c r="D389" s="61">
        <v>1</v>
      </c>
      <c r="E389" s="120">
        <v>1</v>
      </c>
      <c r="F389" s="120" t="s">
        <v>178</v>
      </c>
      <c r="G389" s="55">
        <v>150</v>
      </c>
      <c r="H389" s="120">
        <v>764</v>
      </c>
      <c r="I389" s="57">
        <v>100</v>
      </c>
      <c r="J389" s="120">
        <v>100</v>
      </c>
      <c r="K389" s="120">
        <v>3</v>
      </c>
      <c r="L389" s="120">
        <v>40</v>
      </c>
      <c r="M389" s="120">
        <v>15</v>
      </c>
      <c r="N389" s="120">
        <v>40</v>
      </c>
      <c r="O389" s="120">
        <v>2</v>
      </c>
      <c r="P389" s="120">
        <v>16.666999816894499</v>
      </c>
      <c r="Q389" s="120">
        <v>165</v>
      </c>
      <c r="R389" s="120">
        <v>132.39999389648401</v>
      </c>
      <c r="S389" s="148">
        <v>17.299999237060501</v>
      </c>
      <c r="T389" s="120">
        <v>57</v>
      </c>
      <c r="U389" s="120">
        <v>20</v>
      </c>
      <c r="V389" s="120">
        <v>-9999</v>
      </c>
      <c r="W389" s="120">
        <v>-9999</v>
      </c>
      <c r="X389" s="120">
        <v>-9999</v>
      </c>
      <c r="Y389" s="120">
        <v>-9999</v>
      </c>
      <c r="Z389" s="120">
        <v>-9999</v>
      </c>
      <c r="AA389" s="120">
        <v>68</v>
      </c>
      <c r="AB389" s="120">
        <v>14.5</v>
      </c>
      <c r="AC389" s="120">
        <v>388</v>
      </c>
      <c r="AD389" s="120">
        <v>1660</v>
      </c>
      <c r="AE389" s="120">
        <v>-9999</v>
      </c>
      <c r="AF389" s="120">
        <v>-9999</v>
      </c>
      <c r="AG389" s="120">
        <v>-9999</v>
      </c>
    </row>
    <row r="390" spans="1:33" x14ac:dyDescent="0.25">
      <c r="A390" s="120">
        <v>389</v>
      </c>
      <c r="B390" s="120" t="b">
        <v>0</v>
      </c>
      <c r="C390" s="120">
        <v>0</v>
      </c>
      <c r="D390" s="61">
        <v>1</v>
      </c>
      <c r="E390" s="120">
        <v>1</v>
      </c>
      <c r="F390" s="120" t="s">
        <v>178</v>
      </c>
      <c r="G390" s="55">
        <v>150</v>
      </c>
      <c r="H390" s="120">
        <v>729</v>
      </c>
      <c r="I390" s="57">
        <v>100</v>
      </c>
      <c r="J390" s="120">
        <v>110</v>
      </c>
      <c r="K390" s="120">
        <v>4</v>
      </c>
      <c r="L390" s="120">
        <v>100</v>
      </c>
      <c r="M390" s="120">
        <v>15</v>
      </c>
      <c r="N390" s="120">
        <v>40</v>
      </c>
      <c r="O390" s="120">
        <v>2</v>
      </c>
      <c r="P390" s="120">
        <v>-9999</v>
      </c>
      <c r="Q390" s="120">
        <v>157.5</v>
      </c>
      <c r="R390" s="120">
        <v>126.300003051758</v>
      </c>
      <c r="S390" s="148">
        <v>17.299999237060501</v>
      </c>
      <c r="T390" s="120">
        <v>-9999</v>
      </c>
      <c r="U390" s="120">
        <v>20</v>
      </c>
      <c r="V390" s="120">
        <v>-9999</v>
      </c>
      <c r="W390" s="120">
        <v>-9999</v>
      </c>
      <c r="X390" s="120">
        <v>-9999</v>
      </c>
      <c r="Y390" s="120">
        <v>-9999</v>
      </c>
      <c r="Z390" s="120">
        <v>-9999</v>
      </c>
      <c r="AA390" s="120">
        <v>68</v>
      </c>
      <c r="AB390" s="120">
        <v>14.5</v>
      </c>
      <c r="AC390" s="120">
        <v>389</v>
      </c>
      <c r="AD390" s="120">
        <v>1661</v>
      </c>
      <c r="AE390" s="120">
        <v>-9999</v>
      </c>
      <c r="AF390" s="120">
        <v>-9999</v>
      </c>
      <c r="AG390" s="120">
        <v>-9999</v>
      </c>
    </row>
    <row r="391" spans="1:33" x14ac:dyDescent="0.25">
      <c r="A391" s="120">
        <v>390</v>
      </c>
      <c r="B391" s="120" t="b">
        <v>0</v>
      </c>
      <c r="C391" s="120">
        <v>0</v>
      </c>
      <c r="D391" s="61">
        <v>1</v>
      </c>
      <c r="E391" s="120">
        <v>1</v>
      </c>
      <c r="F391" s="120" t="s">
        <v>178</v>
      </c>
      <c r="G391" s="55">
        <v>150</v>
      </c>
      <c r="H391" s="120">
        <v>729</v>
      </c>
      <c r="I391" s="57">
        <v>100</v>
      </c>
      <c r="J391" s="120">
        <v>110</v>
      </c>
      <c r="K391" s="120">
        <v>11</v>
      </c>
      <c r="L391" s="120">
        <v>60</v>
      </c>
      <c r="M391" s="120">
        <v>15</v>
      </c>
      <c r="N391" s="120">
        <v>40</v>
      </c>
      <c r="O391" s="120">
        <v>2</v>
      </c>
      <c r="P391" s="120">
        <v>25</v>
      </c>
      <c r="Q391" s="120">
        <v>157.5</v>
      </c>
      <c r="R391" s="120">
        <v>126.300003051758</v>
      </c>
      <c r="S391" s="148">
        <v>17.299999237060501</v>
      </c>
      <c r="T391" s="120">
        <v>70</v>
      </c>
      <c r="U391" s="120">
        <v>20</v>
      </c>
      <c r="V391" s="120">
        <v>-9999</v>
      </c>
      <c r="W391" s="120">
        <v>-9999</v>
      </c>
      <c r="X391" s="120">
        <v>-9999</v>
      </c>
      <c r="Y391" s="120">
        <v>-9999</v>
      </c>
      <c r="Z391" s="120">
        <v>-9999</v>
      </c>
      <c r="AA391" s="120">
        <v>68</v>
      </c>
      <c r="AB391" s="120">
        <v>14.5</v>
      </c>
      <c r="AC391" s="120">
        <v>390</v>
      </c>
      <c r="AD391" s="120">
        <v>1662</v>
      </c>
      <c r="AE391" s="120">
        <v>-9999</v>
      </c>
      <c r="AF391" s="120">
        <v>-9999</v>
      </c>
      <c r="AG391" s="120">
        <v>-9999</v>
      </c>
    </row>
    <row r="392" spans="1:33" x14ac:dyDescent="0.25">
      <c r="A392" s="120">
        <v>391</v>
      </c>
      <c r="B392" s="120" t="b">
        <v>0</v>
      </c>
      <c r="C392" s="120">
        <v>0</v>
      </c>
      <c r="D392" s="61">
        <v>1</v>
      </c>
      <c r="E392" s="120">
        <v>1</v>
      </c>
      <c r="F392" s="120" t="s">
        <v>178</v>
      </c>
      <c r="G392" s="55">
        <v>150</v>
      </c>
      <c r="H392" s="120">
        <v>706</v>
      </c>
      <c r="I392" s="57">
        <v>110</v>
      </c>
      <c r="J392" s="120">
        <v>120</v>
      </c>
      <c r="K392" s="120">
        <v>1</v>
      </c>
      <c r="L392" s="120">
        <v>50</v>
      </c>
      <c r="M392" s="120">
        <v>15</v>
      </c>
      <c r="N392" s="120">
        <v>40</v>
      </c>
      <c r="O392" s="120">
        <v>2</v>
      </c>
      <c r="P392" s="120">
        <v>5</v>
      </c>
      <c r="Q392" s="120">
        <v>157.5</v>
      </c>
      <c r="R392" s="120">
        <v>126.300003051758</v>
      </c>
      <c r="S392" s="148">
        <v>17.899999618530298</v>
      </c>
      <c r="T392" s="120">
        <v>65</v>
      </c>
      <c r="U392" s="120">
        <v>19</v>
      </c>
      <c r="V392" s="120">
        <v>-9999</v>
      </c>
      <c r="W392" s="120">
        <v>-9999</v>
      </c>
      <c r="X392" s="120">
        <v>-9999</v>
      </c>
      <c r="Y392" s="120">
        <v>-9999</v>
      </c>
      <c r="Z392" s="120">
        <v>-9999</v>
      </c>
      <c r="AA392" s="120">
        <v>68</v>
      </c>
      <c r="AB392" s="120">
        <v>14.5</v>
      </c>
      <c r="AC392" s="120">
        <v>391</v>
      </c>
      <c r="AD392" s="120">
        <v>1663</v>
      </c>
      <c r="AE392" s="120">
        <v>-9999</v>
      </c>
      <c r="AF392" s="120">
        <v>-9999</v>
      </c>
      <c r="AG392" s="120">
        <v>-9999</v>
      </c>
    </row>
    <row r="393" spans="1:33" x14ac:dyDescent="0.25">
      <c r="A393" s="120">
        <v>392</v>
      </c>
      <c r="B393" s="120" t="b">
        <v>0</v>
      </c>
      <c r="C393" s="120">
        <v>0</v>
      </c>
      <c r="D393" s="61">
        <v>1</v>
      </c>
      <c r="E393" s="120">
        <v>1</v>
      </c>
      <c r="F393" s="120" t="s">
        <v>178</v>
      </c>
      <c r="G393" s="55">
        <v>150</v>
      </c>
      <c r="H393" s="120">
        <v>739</v>
      </c>
      <c r="I393" s="57">
        <v>110</v>
      </c>
      <c r="J393" s="120">
        <v>110</v>
      </c>
      <c r="K393" s="120">
        <v>2</v>
      </c>
      <c r="L393" s="120">
        <v>50</v>
      </c>
      <c r="M393" s="120">
        <v>15</v>
      </c>
      <c r="N393" s="120">
        <v>40</v>
      </c>
      <c r="O393" s="120">
        <v>2</v>
      </c>
      <c r="P393" s="120">
        <v>20</v>
      </c>
      <c r="Q393" s="120">
        <v>165</v>
      </c>
      <c r="R393" s="120">
        <v>132.39999389648401</v>
      </c>
      <c r="S393" s="148">
        <v>17.899999618530298</v>
      </c>
      <c r="T393" s="120">
        <v>65</v>
      </c>
      <c r="U393" s="120">
        <v>19</v>
      </c>
      <c r="V393" s="120">
        <v>-9999</v>
      </c>
      <c r="W393" s="120">
        <v>-9999</v>
      </c>
      <c r="X393" s="120">
        <v>-9999</v>
      </c>
      <c r="Y393" s="120">
        <v>-9999</v>
      </c>
      <c r="Z393" s="120">
        <v>-9999</v>
      </c>
      <c r="AA393" s="120">
        <v>68</v>
      </c>
      <c r="AB393" s="120">
        <v>14.5</v>
      </c>
      <c r="AC393" s="120">
        <v>392</v>
      </c>
      <c r="AD393" s="120">
        <v>1664</v>
      </c>
      <c r="AE393" s="120">
        <v>-9999</v>
      </c>
      <c r="AF393" s="120">
        <v>-9999</v>
      </c>
      <c r="AG393" s="120">
        <v>-9999</v>
      </c>
    </row>
    <row r="394" spans="1:33" x14ac:dyDescent="0.25">
      <c r="A394" s="120">
        <v>393</v>
      </c>
      <c r="B394" s="120" t="b">
        <v>0</v>
      </c>
      <c r="C394" s="120">
        <v>0</v>
      </c>
      <c r="D394" s="61">
        <v>1</v>
      </c>
      <c r="E394" s="120">
        <v>1</v>
      </c>
      <c r="F394" s="120" t="s">
        <v>178</v>
      </c>
      <c r="G394" s="55">
        <v>150</v>
      </c>
      <c r="H394" s="120">
        <v>739</v>
      </c>
      <c r="I394" s="57">
        <v>110</v>
      </c>
      <c r="J394" s="120">
        <v>110</v>
      </c>
      <c r="K394" s="120">
        <v>3</v>
      </c>
      <c r="L394" s="120">
        <v>40</v>
      </c>
      <c r="M394" s="120">
        <v>15</v>
      </c>
      <c r="N394" s="120">
        <v>40</v>
      </c>
      <c r="O394" s="120">
        <v>2</v>
      </c>
      <c r="P394" s="120">
        <v>16.666999816894499</v>
      </c>
      <c r="Q394" s="120">
        <v>165</v>
      </c>
      <c r="R394" s="120">
        <v>132.39999389648401</v>
      </c>
      <c r="S394" s="148">
        <v>17.899999618530298</v>
      </c>
      <c r="T394" s="120">
        <v>57</v>
      </c>
      <c r="U394" s="120">
        <v>19</v>
      </c>
      <c r="V394" s="120">
        <v>-9999</v>
      </c>
      <c r="W394" s="120">
        <v>-9999</v>
      </c>
      <c r="X394" s="120">
        <v>-9999</v>
      </c>
      <c r="Y394" s="120">
        <v>-9999</v>
      </c>
      <c r="Z394" s="120">
        <v>-9999</v>
      </c>
      <c r="AA394" s="120">
        <v>68</v>
      </c>
      <c r="AB394" s="120">
        <v>14.5</v>
      </c>
      <c r="AC394" s="120">
        <v>393</v>
      </c>
      <c r="AD394" s="120">
        <v>1665</v>
      </c>
      <c r="AE394" s="120">
        <v>-9999</v>
      </c>
      <c r="AF394" s="120">
        <v>-9999</v>
      </c>
      <c r="AG394" s="120">
        <v>-9999</v>
      </c>
    </row>
    <row r="395" spans="1:33" x14ac:dyDescent="0.25">
      <c r="A395" s="120">
        <v>394</v>
      </c>
      <c r="B395" s="120" t="b">
        <v>0</v>
      </c>
      <c r="C395" s="120">
        <v>0</v>
      </c>
      <c r="D395" s="61">
        <v>1</v>
      </c>
      <c r="E395" s="120">
        <v>1</v>
      </c>
      <c r="F395" s="120" t="s">
        <v>178</v>
      </c>
      <c r="G395" s="55">
        <v>150</v>
      </c>
      <c r="H395" s="120">
        <v>706</v>
      </c>
      <c r="I395" s="57">
        <v>110</v>
      </c>
      <c r="J395" s="120">
        <v>120</v>
      </c>
      <c r="K395" s="120">
        <v>4</v>
      </c>
      <c r="L395" s="120">
        <v>100</v>
      </c>
      <c r="M395" s="120">
        <v>15</v>
      </c>
      <c r="N395" s="120">
        <v>40</v>
      </c>
      <c r="O395" s="120">
        <v>2</v>
      </c>
      <c r="P395" s="120">
        <v>-9999</v>
      </c>
      <c r="Q395" s="120">
        <v>157.5</v>
      </c>
      <c r="R395" s="120">
        <v>126.300003051758</v>
      </c>
      <c r="S395" s="148">
        <v>17.899999618530298</v>
      </c>
      <c r="T395" s="120">
        <v>-9999</v>
      </c>
      <c r="U395" s="120">
        <v>19</v>
      </c>
      <c r="V395" s="120">
        <v>-9999</v>
      </c>
      <c r="W395" s="120">
        <v>-9999</v>
      </c>
      <c r="X395" s="120">
        <v>-9999</v>
      </c>
      <c r="Y395" s="120">
        <v>-9999</v>
      </c>
      <c r="Z395" s="120">
        <v>-9999</v>
      </c>
      <c r="AA395" s="120">
        <v>68</v>
      </c>
      <c r="AB395" s="120">
        <v>14.5</v>
      </c>
      <c r="AC395" s="120">
        <v>394</v>
      </c>
      <c r="AD395" s="120">
        <v>1666</v>
      </c>
      <c r="AE395" s="120">
        <v>-9999</v>
      </c>
      <c r="AF395" s="120">
        <v>-9999</v>
      </c>
      <c r="AG395" s="120">
        <v>-9999</v>
      </c>
    </row>
    <row r="396" spans="1:33" x14ac:dyDescent="0.25">
      <c r="A396" s="120">
        <v>395</v>
      </c>
      <c r="B396" s="120" t="b">
        <v>0</v>
      </c>
      <c r="C396" s="120">
        <v>0</v>
      </c>
      <c r="D396" s="61">
        <v>1</v>
      </c>
      <c r="E396" s="120">
        <v>1</v>
      </c>
      <c r="F396" s="120" t="s">
        <v>178</v>
      </c>
      <c r="G396" s="55">
        <v>150</v>
      </c>
      <c r="H396" s="120">
        <v>706</v>
      </c>
      <c r="I396" s="57">
        <v>110</v>
      </c>
      <c r="J396" s="120">
        <v>120</v>
      </c>
      <c r="K396" s="120">
        <v>11</v>
      </c>
      <c r="L396" s="120">
        <v>60</v>
      </c>
      <c r="M396" s="120">
        <v>15</v>
      </c>
      <c r="N396" s="120">
        <v>40</v>
      </c>
      <c r="O396" s="120">
        <v>2</v>
      </c>
      <c r="P396" s="120">
        <v>25</v>
      </c>
      <c r="Q396" s="120">
        <v>157.5</v>
      </c>
      <c r="R396" s="120">
        <v>126.300003051758</v>
      </c>
      <c r="S396" s="148">
        <v>17.899999618530298</v>
      </c>
      <c r="T396" s="120">
        <v>70</v>
      </c>
      <c r="U396" s="120">
        <v>19</v>
      </c>
      <c r="V396" s="120">
        <v>-9999</v>
      </c>
      <c r="W396" s="120">
        <v>-9999</v>
      </c>
      <c r="X396" s="120">
        <v>-9999</v>
      </c>
      <c r="Y396" s="120">
        <v>-9999</v>
      </c>
      <c r="Z396" s="120">
        <v>-9999</v>
      </c>
      <c r="AA396" s="120">
        <v>68</v>
      </c>
      <c r="AB396" s="120">
        <v>14.5</v>
      </c>
      <c r="AC396" s="120">
        <v>395</v>
      </c>
      <c r="AD396" s="120">
        <v>1667</v>
      </c>
      <c r="AE396" s="120">
        <v>-9999</v>
      </c>
      <c r="AF396" s="120">
        <v>-9999</v>
      </c>
      <c r="AG396" s="120">
        <v>-9999</v>
      </c>
    </row>
    <row r="397" spans="1:33" x14ac:dyDescent="0.25">
      <c r="A397" s="120">
        <v>396</v>
      </c>
      <c r="B397" s="120" t="b">
        <v>0</v>
      </c>
      <c r="C397" s="120">
        <v>0</v>
      </c>
      <c r="D397" s="61">
        <v>1</v>
      </c>
      <c r="E397" s="120">
        <v>1</v>
      </c>
      <c r="F397" s="120" t="s">
        <v>178</v>
      </c>
      <c r="G397" s="55">
        <v>150</v>
      </c>
      <c r="H397" s="120">
        <v>671</v>
      </c>
      <c r="I397" s="57">
        <v>115</v>
      </c>
      <c r="J397" s="120">
        <v>125</v>
      </c>
      <c r="K397" s="120">
        <v>1</v>
      </c>
      <c r="L397" s="120">
        <v>50</v>
      </c>
      <c r="M397" s="120">
        <v>15</v>
      </c>
      <c r="N397" s="120">
        <v>40</v>
      </c>
      <c r="O397" s="120">
        <v>2</v>
      </c>
      <c r="P397" s="120">
        <v>5</v>
      </c>
      <c r="Q397" s="120">
        <v>157.5</v>
      </c>
      <c r="R397" s="120">
        <v>126.300003051758</v>
      </c>
      <c r="S397" s="148">
        <v>18.799999237060501</v>
      </c>
      <c r="T397" s="120">
        <v>65</v>
      </c>
      <c r="U397" s="120">
        <v>19</v>
      </c>
      <c r="V397" s="120">
        <v>-9999</v>
      </c>
      <c r="W397" s="120">
        <v>-9999</v>
      </c>
      <c r="X397" s="120">
        <v>-9999</v>
      </c>
      <c r="Y397" s="120">
        <v>-9999</v>
      </c>
      <c r="Z397" s="120">
        <v>-9999</v>
      </c>
      <c r="AA397" s="120">
        <v>68</v>
      </c>
      <c r="AB397" s="120">
        <v>14.5</v>
      </c>
      <c r="AC397" s="120">
        <v>396</v>
      </c>
      <c r="AD397" s="120">
        <v>1668</v>
      </c>
      <c r="AE397" s="120">
        <v>-9999</v>
      </c>
      <c r="AF397" s="120">
        <v>-9999</v>
      </c>
      <c r="AG397" s="120">
        <v>-9999</v>
      </c>
    </row>
    <row r="398" spans="1:33" x14ac:dyDescent="0.25">
      <c r="A398" s="120">
        <v>397</v>
      </c>
      <c r="B398" s="120" t="b">
        <v>0</v>
      </c>
      <c r="C398" s="120">
        <v>0</v>
      </c>
      <c r="D398" s="61">
        <v>1</v>
      </c>
      <c r="E398" s="120">
        <v>1</v>
      </c>
      <c r="F398" s="120" t="s">
        <v>178</v>
      </c>
      <c r="G398" s="55">
        <v>150</v>
      </c>
      <c r="H398" s="120">
        <v>703</v>
      </c>
      <c r="I398" s="57">
        <v>115</v>
      </c>
      <c r="J398" s="120">
        <v>115</v>
      </c>
      <c r="K398" s="120">
        <v>2</v>
      </c>
      <c r="L398" s="120">
        <v>50</v>
      </c>
      <c r="M398" s="120">
        <v>15</v>
      </c>
      <c r="N398" s="120">
        <v>40</v>
      </c>
      <c r="O398" s="120">
        <v>2</v>
      </c>
      <c r="P398" s="120">
        <v>20</v>
      </c>
      <c r="Q398" s="120">
        <v>165</v>
      </c>
      <c r="R398" s="120">
        <v>132.39999389648401</v>
      </c>
      <c r="S398" s="148">
        <v>18.799999237060501</v>
      </c>
      <c r="T398" s="120">
        <v>65</v>
      </c>
      <c r="U398" s="120">
        <v>19</v>
      </c>
      <c r="V398" s="120">
        <v>-9999</v>
      </c>
      <c r="W398" s="120">
        <v>-9999</v>
      </c>
      <c r="X398" s="120">
        <v>-9999</v>
      </c>
      <c r="Y398" s="120">
        <v>-9999</v>
      </c>
      <c r="Z398" s="120">
        <v>-9999</v>
      </c>
      <c r="AA398" s="120">
        <v>68</v>
      </c>
      <c r="AB398" s="120">
        <v>14.5</v>
      </c>
      <c r="AC398" s="120">
        <v>397</v>
      </c>
      <c r="AD398" s="120">
        <v>1669</v>
      </c>
      <c r="AE398" s="120">
        <v>-9999</v>
      </c>
      <c r="AF398" s="120">
        <v>-9999</v>
      </c>
      <c r="AG398" s="120">
        <v>-9999</v>
      </c>
    </row>
    <row r="399" spans="1:33" x14ac:dyDescent="0.25">
      <c r="A399" s="120">
        <v>398</v>
      </c>
      <c r="B399" s="120" t="b">
        <v>0</v>
      </c>
      <c r="C399" s="120">
        <v>0</v>
      </c>
      <c r="D399" s="61">
        <v>1</v>
      </c>
      <c r="E399" s="120">
        <v>1</v>
      </c>
      <c r="F399" s="120" t="s">
        <v>178</v>
      </c>
      <c r="G399" s="55">
        <v>150</v>
      </c>
      <c r="H399" s="120">
        <v>703</v>
      </c>
      <c r="I399" s="57">
        <v>115</v>
      </c>
      <c r="J399" s="120">
        <v>115</v>
      </c>
      <c r="K399" s="120">
        <v>3</v>
      </c>
      <c r="L399" s="120">
        <v>40</v>
      </c>
      <c r="M399" s="120">
        <v>15</v>
      </c>
      <c r="N399" s="120">
        <v>40</v>
      </c>
      <c r="O399" s="120">
        <v>2</v>
      </c>
      <c r="P399" s="120">
        <v>16.666999816894499</v>
      </c>
      <c r="Q399" s="120">
        <v>165</v>
      </c>
      <c r="R399" s="120">
        <v>132.39999389648401</v>
      </c>
      <c r="S399" s="148">
        <v>18.799999237060501</v>
      </c>
      <c r="T399" s="120">
        <v>57</v>
      </c>
      <c r="U399" s="120">
        <v>19</v>
      </c>
      <c r="V399" s="120">
        <v>-9999</v>
      </c>
      <c r="W399" s="120">
        <v>-9999</v>
      </c>
      <c r="X399" s="120">
        <v>-9999</v>
      </c>
      <c r="Y399" s="120">
        <v>-9999</v>
      </c>
      <c r="Z399" s="120">
        <v>-9999</v>
      </c>
      <c r="AA399" s="120">
        <v>68</v>
      </c>
      <c r="AB399" s="120">
        <v>14.5</v>
      </c>
      <c r="AC399" s="120">
        <v>398</v>
      </c>
      <c r="AD399" s="120">
        <v>1670</v>
      </c>
      <c r="AE399" s="120">
        <v>-9999</v>
      </c>
      <c r="AF399" s="120">
        <v>-9999</v>
      </c>
      <c r="AG399" s="120">
        <v>-9999</v>
      </c>
    </row>
    <row r="400" spans="1:33" x14ac:dyDescent="0.25">
      <c r="A400" s="120">
        <v>399</v>
      </c>
      <c r="B400" s="120" t="b">
        <v>0</v>
      </c>
      <c r="C400" s="120">
        <v>0</v>
      </c>
      <c r="D400" s="61">
        <v>1</v>
      </c>
      <c r="E400" s="120">
        <v>1</v>
      </c>
      <c r="F400" s="120" t="s">
        <v>178</v>
      </c>
      <c r="G400" s="55">
        <v>150</v>
      </c>
      <c r="H400" s="120">
        <v>671</v>
      </c>
      <c r="I400" s="57">
        <v>115</v>
      </c>
      <c r="J400" s="120">
        <v>125</v>
      </c>
      <c r="K400" s="120">
        <v>4</v>
      </c>
      <c r="L400" s="120">
        <v>100</v>
      </c>
      <c r="M400" s="120">
        <v>15</v>
      </c>
      <c r="N400" s="120">
        <v>40</v>
      </c>
      <c r="O400" s="120">
        <v>2</v>
      </c>
      <c r="P400" s="120">
        <v>-9999</v>
      </c>
      <c r="Q400" s="120">
        <v>157.5</v>
      </c>
      <c r="R400" s="120">
        <v>126.300003051758</v>
      </c>
      <c r="S400" s="148">
        <v>18.799999237060501</v>
      </c>
      <c r="T400" s="120">
        <v>-9999</v>
      </c>
      <c r="U400" s="120">
        <v>19</v>
      </c>
      <c r="V400" s="120">
        <v>-9999</v>
      </c>
      <c r="W400" s="120">
        <v>-9999</v>
      </c>
      <c r="X400" s="120">
        <v>-9999</v>
      </c>
      <c r="Y400" s="120">
        <v>-9999</v>
      </c>
      <c r="Z400" s="120">
        <v>-9999</v>
      </c>
      <c r="AA400" s="120">
        <v>68</v>
      </c>
      <c r="AB400" s="120">
        <v>14.5</v>
      </c>
      <c r="AC400" s="120">
        <v>399</v>
      </c>
      <c r="AD400" s="120">
        <v>1671</v>
      </c>
      <c r="AE400" s="120">
        <v>-9999</v>
      </c>
      <c r="AF400" s="120">
        <v>-9999</v>
      </c>
      <c r="AG400" s="120">
        <v>-9999</v>
      </c>
    </row>
    <row r="401" spans="1:33" x14ac:dyDescent="0.25">
      <c r="A401" s="120">
        <v>400</v>
      </c>
      <c r="B401" s="120" t="b">
        <v>0</v>
      </c>
      <c r="C401" s="120">
        <v>0</v>
      </c>
      <c r="D401" s="61">
        <v>1</v>
      </c>
      <c r="E401" s="120">
        <v>1</v>
      </c>
      <c r="F401" s="120" t="s">
        <v>178</v>
      </c>
      <c r="G401" s="55">
        <v>150</v>
      </c>
      <c r="H401" s="120">
        <v>671</v>
      </c>
      <c r="I401" s="57">
        <v>115</v>
      </c>
      <c r="J401" s="120">
        <v>125</v>
      </c>
      <c r="K401" s="120">
        <v>11</v>
      </c>
      <c r="L401" s="120">
        <v>60</v>
      </c>
      <c r="M401" s="120">
        <v>15</v>
      </c>
      <c r="N401" s="120">
        <v>40</v>
      </c>
      <c r="O401" s="120">
        <v>2</v>
      </c>
      <c r="P401" s="120">
        <v>25</v>
      </c>
      <c r="Q401" s="120">
        <v>157.5</v>
      </c>
      <c r="R401" s="120">
        <v>126.300003051758</v>
      </c>
      <c r="S401" s="148">
        <v>18.799999237060501</v>
      </c>
      <c r="T401" s="120">
        <v>70</v>
      </c>
      <c r="U401" s="120">
        <v>19</v>
      </c>
      <c r="V401" s="120">
        <v>-9999</v>
      </c>
      <c r="W401" s="120">
        <v>-9999</v>
      </c>
      <c r="X401" s="120">
        <v>-9999</v>
      </c>
      <c r="Y401" s="120">
        <v>-9999</v>
      </c>
      <c r="Z401" s="120">
        <v>-9999</v>
      </c>
      <c r="AA401" s="120">
        <v>68</v>
      </c>
      <c r="AB401" s="120">
        <v>14.5</v>
      </c>
      <c r="AC401" s="120">
        <v>400</v>
      </c>
      <c r="AD401" s="120">
        <v>1672</v>
      </c>
      <c r="AE401" s="120">
        <v>-9999</v>
      </c>
      <c r="AF401" s="120">
        <v>-9999</v>
      </c>
      <c r="AG401" s="120">
        <v>-9999</v>
      </c>
    </row>
    <row r="402" spans="1:33" x14ac:dyDescent="0.25">
      <c r="A402" s="120">
        <v>401</v>
      </c>
      <c r="B402" s="120" t="b">
        <v>0</v>
      </c>
      <c r="C402" s="120">
        <v>0</v>
      </c>
      <c r="D402" s="61">
        <v>1</v>
      </c>
      <c r="E402" s="120">
        <v>1</v>
      </c>
      <c r="F402" s="120" t="s">
        <v>178</v>
      </c>
      <c r="G402" s="55">
        <v>150</v>
      </c>
      <c r="H402" s="120">
        <v>642</v>
      </c>
      <c r="I402" s="57">
        <v>125</v>
      </c>
      <c r="J402" s="120">
        <v>135</v>
      </c>
      <c r="K402" s="120">
        <v>1</v>
      </c>
      <c r="L402" s="120">
        <v>50</v>
      </c>
      <c r="M402" s="120">
        <v>15</v>
      </c>
      <c r="N402" s="120">
        <v>40</v>
      </c>
      <c r="O402" s="120">
        <v>2</v>
      </c>
      <c r="P402" s="120">
        <v>5</v>
      </c>
      <c r="Q402" s="120">
        <v>157.5</v>
      </c>
      <c r="R402" s="120">
        <v>126.300003051758</v>
      </c>
      <c r="S402" s="148">
        <v>19.700000762939499</v>
      </c>
      <c r="T402" s="120">
        <v>65</v>
      </c>
      <c r="U402" s="120">
        <v>18</v>
      </c>
      <c r="V402" s="120">
        <v>-9999</v>
      </c>
      <c r="W402" s="120">
        <v>-9999</v>
      </c>
      <c r="X402" s="120">
        <v>-9999</v>
      </c>
      <c r="Y402" s="120">
        <v>-9999</v>
      </c>
      <c r="Z402" s="120">
        <v>-9999</v>
      </c>
      <c r="AA402" s="120">
        <v>68</v>
      </c>
      <c r="AB402" s="120">
        <v>14.5</v>
      </c>
      <c r="AC402" s="120">
        <v>401</v>
      </c>
      <c r="AD402" s="120">
        <v>1673</v>
      </c>
      <c r="AE402" s="120">
        <v>-9999</v>
      </c>
      <c r="AF402" s="120">
        <v>-9999</v>
      </c>
      <c r="AG402" s="120">
        <v>-9999</v>
      </c>
    </row>
    <row r="403" spans="1:33" x14ac:dyDescent="0.25">
      <c r="A403" s="120">
        <v>402</v>
      </c>
      <c r="B403" s="120" t="b">
        <v>0</v>
      </c>
      <c r="C403" s="120">
        <v>0</v>
      </c>
      <c r="D403" s="61">
        <v>1</v>
      </c>
      <c r="E403" s="120">
        <v>1</v>
      </c>
      <c r="F403" s="120" t="s">
        <v>178</v>
      </c>
      <c r="G403" s="55">
        <v>150</v>
      </c>
      <c r="H403" s="120">
        <v>673</v>
      </c>
      <c r="I403" s="57">
        <v>125</v>
      </c>
      <c r="J403" s="120">
        <v>125</v>
      </c>
      <c r="K403" s="120">
        <v>2</v>
      </c>
      <c r="L403" s="120">
        <v>50</v>
      </c>
      <c r="M403" s="120">
        <v>15</v>
      </c>
      <c r="N403" s="120">
        <v>40</v>
      </c>
      <c r="O403" s="120">
        <v>2</v>
      </c>
      <c r="P403" s="120">
        <v>20</v>
      </c>
      <c r="Q403" s="120">
        <v>165</v>
      </c>
      <c r="R403" s="120">
        <v>132.39999389648401</v>
      </c>
      <c r="S403" s="148">
        <v>19.700000762939499</v>
      </c>
      <c r="T403" s="120">
        <v>65</v>
      </c>
      <c r="U403" s="120">
        <v>18</v>
      </c>
      <c r="V403" s="120">
        <v>-9999</v>
      </c>
      <c r="W403" s="120">
        <v>-9999</v>
      </c>
      <c r="X403" s="120">
        <v>-9999</v>
      </c>
      <c r="Y403" s="120">
        <v>-9999</v>
      </c>
      <c r="Z403" s="120">
        <v>-9999</v>
      </c>
      <c r="AA403" s="120">
        <v>68</v>
      </c>
      <c r="AB403" s="120">
        <v>14.5</v>
      </c>
      <c r="AC403" s="120">
        <v>402</v>
      </c>
      <c r="AD403" s="120">
        <v>1674</v>
      </c>
      <c r="AE403" s="120">
        <v>-9999</v>
      </c>
      <c r="AF403" s="120">
        <v>-9999</v>
      </c>
      <c r="AG403" s="120">
        <v>-9999</v>
      </c>
    </row>
    <row r="404" spans="1:33" x14ac:dyDescent="0.25">
      <c r="A404" s="120">
        <v>403</v>
      </c>
      <c r="B404" s="120" t="b">
        <v>0</v>
      </c>
      <c r="C404" s="120">
        <v>0</v>
      </c>
      <c r="D404" s="61">
        <v>1</v>
      </c>
      <c r="E404" s="120">
        <v>1</v>
      </c>
      <c r="F404" s="120" t="s">
        <v>178</v>
      </c>
      <c r="G404" s="55">
        <v>150</v>
      </c>
      <c r="H404" s="120">
        <v>673</v>
      </c>
      <c r="I404" s="57">
        <v>125</v>
      </c>
      <c r="J404" s="120">
        <v>125</v>
      </c>
      <c r="K404" s="120">
        <v>3</v>
      </c>
      <c r="L404" s="120">
        <v>40</v>
      </c>
      <c r="M404" s="120">
        <v>15</v>
      </c>
      <c r="N404" s="120">
        <v>40</v>
      </c>
      <c r="O404" s="120">
        <v>2</v>
      </c>
      <c r="P404" s="120">
        <v>16.666999816894499</v>
      </c>
      <c r="Q404" s="120">
        <v>165</v>
      </c>
      <c r="R404" s="120">
        <v>132.39999389648401</v>
      </c>
      <c r="S404" s="148">
        <v>19.700000762939499</v>
      </c>
      <c r="T404" s="120">
        <v>57</v>
      </c>
      <c r="U404" s="120">
        <v>18</v>
      </c>
      <c r="V404" s="120">
        <v>-9999</v>
      </c>
      <c r="W404" s="120">
        <v>-9999</v>
      </c>
      <c r="X404" s="120">
        <v>-9999</v>
      </c>
      <c r="Y404" s="120">
        <v>-9999</v>
      </c>
      <c r="Z404" s="120">
        <v>-9999</v>
      </c>
      <c r="AA404" s="120">
        <v>68</v>
      </c>
      <c r="AB404" s="120">
        <v>14.5</v>
      </c>
      <c r="AC404" s="120">
        <v>403</v>
      </c>
      <c r="AD404" s="120">
        <v>1675</v>
      </c>
      <c r="AE404" s="120">
        <v>-9999</v>
      </c>
      <c r="AF404" s="120">
        <v>-9999</v>
      </c>
      <c r="AG404" s="120">
        <v>-9999</v>
      </c>
    </row>
    <row r="405" spans="1:33" x14ac:dyDescent="0.25">
      <c r="A405" s="120">
        <v>404</v>
      </c>
      <c r="B405" s="120" t="b">
        <v>0</v>
      </c>
      <c r="C405" s="120">
        <v>0</v>
      </c>
      <c r="D405" s="61">
        <v>1</v>
      </c>
      <c r="E405" s="120">
        <v>1</v>
      </c>
      <c r="F405" s="120" t="s">
        <v>178</v>
      </c>
      <c r="G405" s="55">
        <v>150</v>
      </c>
      <c r="H405" s="120">
        <v>642</v>
      </c>
      <c r="I405" s="57">
        <v>125</v>
      </c>
      <c r="J405" s="120">
        <v>135</v>
      </c>
      <c r="K405" s="120">
        <v>4</v>
      </c>
      <c r="L405" s="120">
        <v>100</v>
      </c>
      <c r="M405" s="120">
        <v>15</v>
      </c>
      <c r="N405" s="120">
        <v>40</v>
      </c>
      <c r="O405" s="120">
        <v>2</v>
      </c>
      <c r="P405" s="120">
        <v>-9999</v>
      </c>
      <c r="Q405" s="120">
        <v>157.5</v>
      </c>
      <c r="R405" s="120">
        <v>126.300003051758</v>
      </c>
      <c r="S405" s="148">
        <v>19.700000762939499</v>
      </c>
      <c r="T405" s="120">
        <v>-9999</v>
      </c>
      <c r="U405" s="120">
        <v>18</v>
      </c>
      <c r="V405" s="120">
        <v>-9999</v>
      </c>
      <c r="W405" s="120">
        <v>-9999</v>
      </c>
      <c r="X405" s="120">
        <v>-9999</v>
      </c>
      <c r="Y405" s="120">
        <v>-9999</v>
      </c>
      <c r="Z405" s="120">
        <v>-9999</v>
      </c>
      <c r="AA405" s="120">
        <v>68</v>
      </c>
      <c r="AB405" s="120">
        <v>14.5</v>
      </c>
      <c r="AC405" s="120">
        <v>404</v>
      </c>
      <c r="AD405" s="120">
        <v>1676</v>
      </c>
      <c r="AE405" s="120">
        <v>-9999</v>
      </c>
      <c r="AF405" s="120">
        <v>-9999</v>
      </c>
      <c r="AG405" s="120">
        <v>-9999</v>
      </c>
    </row>
    <row r="406" spans="1:33" x14ac:dyDescent="0.25">
      <c r="A406" s="120">
        <v>405</v>
      </c>
      <c r="B406" s="120" t="b">
        <v>0</v>
      </c>
      <c r="C406" s="120">
        <v>0</v>
      </c>
      <c r="D406" s="61">
        <v>1</v>
      </c>
      <c r="E406" s="120">
        <v>1</v>
      </c>
      <c r="F406" s="120" t="s">
        <v>178</v>
      </c>
      <c r="G406" s="55">
        <v>150</v>
      </c>
      <c r="H406" s="120">
        <v>642</v>
      </c>
      <c r="I406" s="57">
        <v>125</v>
      </c>
      <c r="J406" s="120">
        <v>135</v>
      </c>
      <c r="K406" s="120">
        <v>11</v>
      </c>
      <c r="L406" s="120">
        <v>60</v>
      </c>
      <c r="M406" s="120">
        <v>15</v>
      </c>
      <c r="N406" s="120">
        <v>40</v>
      </c>
      <c r="O406" s="120">
        <v>2</v>
      </c>
      <c r="P406" s="120">
        <v>25</v>
      </c>
      <c r="Q406" s="120">
        <v>157.5</v>
      </c>
      <c r="R406" s="120">
        <v>126.300003051758</v>
      </c>
      <c r="S406" s="148">
        <v>19.700000762939499</v>
      </c>
      <c r="T406" s="120">
        <v>70</v>
      </c>
      <c r="U406" s="120">
        <v>18</v>
      </c>
      <c r="V406" s="120">
        <v>-9999</v>
      </c>
      <c r="W406" s="120">
        <v>-9999</v>
      </c>
      <c r="X406" s="120">
        <v>-9999</v>
      </c>
      <c r="Y406" s="120">
        <v>-9999</v>
      </c>
      <c r="Z406" s="120">
        <v>-9999</v>
      </c>
      <c r="AA406" s="120">
        <v>68</v>
      </c>
      <c r="AB406" s="120">
        <v>14.5</v>
      </c>
      <c r="AC406" s="120">
        <v>405</v>
      </c>
      <c r="AD406" s="120">
        <v>1677</v>
      </c>
      <c r="AE406" s="120">
        <v>-9999</v>
      </c>
      <c r="AF406" s="120">
        <v>-9999</v>
      </c>
      <c r="AG406" s="120">
        <v>-9999</v>
      </c>
    </row>
    <row r="407" spans="1:33" x14ac:dyDescent="0.25">
      <c r="A407" s="120">
        <v>406</v>
      </c>
      <c r="B407" s="120" t="b">
        <v>0</v>
      </c>
      <c r="C407" s="120">
        <v>0</v>
      </c>
      <c r="D407" s="61">
        <v>1</v>
      </c>
      <c r="E407" s="120">
        <v>1</v>
      </c>
      <c r="F407" s="120" t="s">
        <v>178</v>
      </c>
      <c r="G407" s="55">
        <v>150</v>
      </c>
      <c r="H407" s="120">
        <v>587</v>
      </c>
      <c r="I407" s="57">
        <v>140</v>
      </c>
      <c r="J407" s="120">
        <v>150</v>
      </c>
      <c r="K407" s="120">
        <v>1</v>
      </c>
      <c r="L407" s="120">
        <v>50</v>
      </c>
      <c r="M407" s="120">
        <v>15</v>
      </c>
      <c r="N407" s="120">
        <v>40</v>
      </c>
      <c r="O407" s="120">
        <v>2</v>
      </c>
      <c r="P407" s="120">
        <v>5</v>
      </c>
      <c r="Q407" s="120">
        <v>157.5</v>
      </c>
      <c r="R407" s="120">
        <v>126.300003051758</v>
      </c>
      <c r="S407" s="148">
        <v>21.5</v>
      </c>
      <c r="T407" s="120">
        <v>65</v>
      </c>
      <c r="U407" s="120">
        <v>18</v>
      </c>
      <c r="V407" s="120">
        <v>-9999</v>
      </c>
      <c r="W407" s="120">
        <v>-9999</v>
      </c>
      <c r="X407" s="120">
        <v>-9999</v>
      </c>
      <c r="Y407" s="120">
        <v>-9999</v>
      </c>
      <c r="Z407" s="120">
        <v>-9999</v>
      </c>
      <c r="AA407" s="120">
        <v>68</v>
      </c>
      <c r="AB407" s="120">
        <v>14.5</v>
      </c>
      <c r="AC407" s="120">
        <v>406</v>
      </c>
      <c r="AD407" s="120">
        <v>1678</v>
      </c>
      <c r="AE407" s="120">
        <v>-9999</v>
      </c>
      <c r="AF407" s="120">
        <v>-9999</v>
      </c>
      <c r="AG407" s="120">
        <v>-9999</v>
      </c>
    </row>
    <row r="408" spans="1:33" x14ac:dyDescent="0.25">
      <c r="A408" s="120">
        <v>407</v>
      </c>
      <c r="B408" s="120" t="b">
        <v>0</v>
      </c>
      <c r="C408" s="120">
        <v>0</v>
      </c>
      <c r="D408" s="61">
        <v>1</v>
      </c>
      <c r="E408" s="120">
        <v>1</v>
      </c>
      <c r="F408" s="120" t="s">
        <v>178</v>
      </c>
      <c r="G408" s="55">
        <v>150</v>
      </c>
      <c r="H408" s="120">
        <v>615</v>
      </c>
      <c r="I408" s="57">
        <v>140</v>
      </c>
      <c r="J408" s="120">
        <v>140</v>
      </c>
      <c r="K408" s="120">
        <v>2</v>
      </c>
      <c r="L408" s="120">
        <v>50</v>
      </c>
      <c r="M408" s="120">
        <v>15</v>
      </c>
      <c r="N408" s="120">
        <v>40</v>
      </c>
      <c r="O408" s="120">
        <v>2</v>
      </c>
      <c r="P408" s="120">
        <v>20</v>
      </c>
      <c r="Q408" s="120">
        <v>165</v>
      </c>
      <c r="R408" s="120">
        <v>132.39999389648401</v>
      </c>
      <c r="S408" s="148">
        <v>21.5</v>
      </c>
      <c r="T408" s="120">
        <v>65</v>
      </c>
      <c r="U408" s="120">
        <v>18</v>
      </c>
      <c r="V408" s="120">
        <v>-9999</v>
      </c>
      <c r="W408" s="120">
        <v>-9999</v>
      </c>
      <c r="X408" s="120">
        <v>-9999</v>
      </c>
      <c r="Y408" s="120">
        <v>-9999</v>
      </c>
      <c r="Z408" s="120">
        <v>-9999</v>
      </c>
      <c r="AA408" s="120">
        <v>68</v>
      </c>
      <c r="AB408" s="120">
        <v>14.5</v>
      </c>
      <c r="AC408" s="120">
        <v>407</v>
      </c>
      <c r="AD408" s="120">
        <v>1679</v>
      </c>
      <c r="AE408" s="120">
        <v>-9999</v>
      </c>
      <c r="AF408" s="120">
        <v>-9999</v>
      </c>
      <c r="AG408" s="120">
        <v>-9999</v>
      </c>
    </row>
    <row r="409" spans="1:33" x14ac:dyDescent="0.25">
      <c r="A409" s="120">
        <v>408</v>
      </c>
      <c r="B409" s="120" t="b">
        <v>0</v>
      </c>
      <c r="C409" s="120">
        <v>0</v>
      </c>
      <c r="D409" s="61">
        <v>1</v>
      </c>
      <c r="E409" s="120">
        <v>1</v>
      </c>
      <c r="F409" s="120" t="s">
        <v>178</v>
      </c>
      <c r="G409" s="55">
        <v>150</v>
      </c>
      <c r="H409" s="120">
        <v>615</v>
      </c>
      <c r="I409" s="57">
        <v>140</v>
      </c>
      <c r="J409" s="120">
        <v>140</v>
      </c>
      <c r="K409" s="120">
        <v>3</v>
      </c>
      <c r="L409" s="120">
        <v>40</v>
      </c>
      <c r="M409" s="120">
        <v>15</v>
      </c>
      <c r="N409" s="120">
        <v>40</v>
      </c>
      <c r="O409" s="120">
        <v>2</v>
      </c>
      <c r="P409" s="120">
        <v>16.666999816894499</v>
      </c>
      <c r="Q409" s="120">
        <v>165</v>
      </c>
      <c r="R409" s="120">
        <v>132.39999389648401</v>
      </c>
      <c r="S409" s="148">
        <v>21.5</v>
      </c>
      <c r="T409" s="120">
        <v>57</v>
      </c>
      <c r="U409" s="120">
        <v>18</v>
      </c>
      <c r="V409" s="120">
        <v>-9999</v>
      </c>
      <c r="W409" s="120">
        <v>-9999</v>
      </c>
      <c r="X409" s="120">
        <v>-9999</v>
      </c>
      <c r="Y409" s="120">
        <v>-9999</v>
      </c>
      <c r="Z409" s="120">
        <v>-9999</v>
      </c>
      <c r="AA409" s="120">
        <v>68</v>
      </c>
      <c r="AB409" s="120">
        <v>14.5</v>
      </c>
      <c r="AC409" s="120">
        <v>408</v>
      </c>
      <c r="AD409" s="120">
        <v>1680</v>
      </c>
      <c r="AE409" s="120">
        <v>-9999</v>
      </c>
      <c r="AF409" s="120">
        <v>-9999</v>
      </c>
      <c r="AG409" s="120">
        <v>-9999</v>
      </c>
    </row>
    <row r="410" spans="1:33" x14ac:dyDescent="0.25">
      <c r="A410" s="120">
        <v>409</v>
      </c>
      <c r="B410" s="120" t="b">
        <v>0</v>
      </c>
      <c r="C410" s="120">
        <v>0</v>
      </c>
      <c r="D410" s="61">
        <v>1</v>
      </c>
      <c r="E410" s="120">
        <v>1</v>
      </c>
      <c r="F410" s="120" t="s">
        <v>178</v>
      </c>
      <c r="G410" s="55">
        <v>150</v>
      </c>
      <c r="H410" s="120">
        <v>587</v>
      </c>
      <c r="I410" s="57">
        <v>140</v>
      </c>
      <c r="J410" s="120">
        <v>150</v>
      </c>
      <c r="K410" s="120">
        <v>4</v>
      </c>
      <c r="L410" s="120">
        <v>100</v>
      </c>
      <c r="M410" s="120">
        <v>15</v>
      </c>
      <c r="N410" s="120">
        <v>40</v>
      </c>
      <c r="O410" s="120">
        <v>2</v>
      </c>
      <c r="P410" s="120">
        <v>-9999</v>
      </c>
      <c r="Q410" s="120">
        <v>157.5</v>
      </c>
      <c r="R410" s="120">
        <v>126.300003051758</v>
      </c>
      <c r="S410" s="148">
        <v>21.5</v>
      </c>
      <c r="T410" s="120">
        <v>-9999</v>
      </c>
      <c r="U410" s="120">
        <v>18</v>
      </c>
      <c r="V410" s="120">
        <v>-9999</v>
      </c>
      <c r="W410" s="120">
        <v>-9999</v>
      </c>
      <c r="X410" s="120">
        <v>-9999</v>
      </c>
      <c r="Y410" s="120">
        <v>-9999</v>
      </c>
      <c r="Z410" s="120">
        <v>-9999</v>
      </c>
      <c r="AA410" s="120">
        <v>68</v>
      </c>
      <c r="AB410" s="120">
        <v>14.5</v>
      </c>
      <c r="AC410" s="120">
        <v>409</v>
      </c>
      <c r="AD410" s="120">
        <v>1681</v>
      </c>
      <c r="AE410" s="120">
        <v>-9999</v>
      </c>
      <c r="AF410" s="120">
        <v>-9999</v>
      </c>
      <c r="AG410" s="120">
        <v>-9999</v>
      </c>
    </row>
    <row r="411" spans="1:33" x14ac:dyDescent="0.25">
      <c r="A411" s="120">
        <v>410</v>
      </c>
      <c r="B411" s="120" t="b">
        <v>0</v>
      </c>
      <c r="C411" s="120">
        <v>0</v>
      </c>
      <c r="D411" s="61">
        <v>1</v>
      </c>
      <c r="E411" s="120">
        <v>1</v>
      </c>
      <c r="F411" s="120" t="s">
        <v>178</v>
      </c>
      <c r="G411" s="55">
        <v>150</v>
      </c>
      <c r="H411" s="120">
        <v>587</v>
      </c>
      <c r="I411" s="57">
        <v>140</v>
      </c>
      <c r="J411" s="120">
        <v>150</v>
      </c>
      <c r="K411" s="120">
        <v>11</v>
      </c>
      <c r="L411" s="120">
        <v>60</v>
      </c>
      <c r="M411" s="120">
        <v>15</v>
      </c>
      <c r="N411" s="120">
        <v>40</v>
      </c>
      <c r="O411" s="120">
        <v>2</v>
      </c>
      <c r="P411" s="120">
        <v>25</v>
      </c>
      <c r="Q411" s="120">
        <v>157.5</v>
      </c>
      <c r="R411" s="120">
        <v>126.300003051758</v>
      </c>
      <c r="S411" s="148">
        <v>21.5</v>
      </c>
      <c r="T411" s="120">
        <v>70</v>
      </c>
      <c r="U411" s="120">
        <v>18</v>
      </c>
      <c r="V411" s="120">
        <v>-9999</v>
      </c>
      <c r="W411" s="120">
        <v>-9999</v>
      </c>
      <c r="X411" s="120">
        <v>-9999</v>
      </c>
      <c r="Y411" s="120">
        <v>-9999</v>
      </c>
      <c r="Z411" s="120">
        <v>-9999</v>
      </c>
      <c r="AA411" s="120">
        <v>68</v>
      </c>
      <c r="AB411" s="120">
        <v>14.5</v>
      </c>
      <c r="AC411" s="120">
        <v>410</v>
      </c>
      <c r="AD411" s="120">
        <v>1682</v>
      </c>
      <c r="AE411" s="120">
        <v>-9999</v>
      </c>
      <c r="AF411" s="120">
        <v>-9999</v>
      </c>
      <c r="AG411" s="120">
        <v>-9999</v>
      </c>
    </row>
    <row r="412" spans="1:33" x14ac:dyDescent="0.25">
      <c r="A412" s="120">
        <v>411</v>
      </c>
      <c r="B412" s="120" t="b">
        <v>0</v>
      </c>
      <c r="C412" s="120">
        <v>0</v>
      </c>
      <c r="D412" s="61">
        <v>1</v>
      </c>
      <c r="E412" s="120">
        <v>1</v>
      </c>
      <c r="F412" s="120" t="s">
        <v>178</v>
      </c>
      <c r="G412" s="55">
        <v>150</v>
      </c>
      <c r="H412" s="120">
        <v>581</v>
      </c>
      <c r="I412" s="57">
        <v>150</v>
      </c>
      <c r="J412" s="120">
        <v>160</v>
      </c>
      <c r="K412" s="120">
        <v>1</v>
      </c>
      <c r="L412" s="120">
        <v>50</v>
      </c>
      <c r="M412" s="120">
        <v>15</v>
      </c>
      <c r="N412" s="120">
        <v>40</v>
      </c>
      <c r="O412" s="120">
        <v>2</v>
      </c>
      <c r="P412" s="120">
        <v>5</v>
      </c>
      <c r="Q412" s="120">
        <v>157.5</v>
      </c>
      <c r="R412" s="120">
        <v>126.300003051758</v>
      </c>
      <c r="S412" s="148">
        <v>21.799999237060501</v>
      </c>
      <c r="T412" s="120">
        <v>65</v>
      </c>
      <c r="U412" s="120">
        <v>18</v>
      </c>
      <c r="V412" s="120">
        <v>-9999</v>
      </c>
      <c r="W412" s="120">
        <v>-9999</v>
      </c>
      <c r="X412" s="120">
        <v>-9999</v>
      </c>
      <c r="Y412" s="120">
        <v>-9999</v>
      </c>
      <c r="Z412" s="120">
        <v>-9999</v>
      </c>
      <c r="AA412" s="120">
        <v>68</v>
      </c>
      <c r="AB412" s="120">
        <v>14.5</v>
      </c>
      <c r="AC412" s="120">
        <v>411</v>
      </c>
      <c r="AD412" s="120">
        <v>1683</v>
      </c>
      <c r="AE412" s="120">
        <v>-9999</v>
      </c>
      <c r="AF412" s="120">
        <v>-9999</v>
      </c>
      <c r="AG412" s="120">
        <v>-9999</v>
      </c>
    </row>
    <row r="413" spans="1:33" x14ac:dyDescent="0.25">
      <c r="A413" s="120">
        <v>412</v>
      </c>
      <c r="B413" s="120" t="b">
        <v>0</v>
      </c>
      <c r="C413" s="120">
        <v>0</v>
      </c>
      <c r="D413" s="61">
        <v>1</v>
      </c>
      <c r="E413" s="120">
        <v>1</v>
      </c>
      <c r="F413" s="120" t="s">
        <v>178</v>
      </c>
      <c r="G413" s="55">
        <v>150</v>
      </c>
      <c r="H413" s="120">
        <v>608</v>
      </c>
      <c r="I413" s="57">
        <v>150</v>
      </c>
      <c r="J413" s="120">
        <v>150</v>
      </c>
      <c r="K413" s="120">
        <v>2</v>
      </c>
      <c r="L413" s="120">
        <v>50</v>
      </c>
      <c r="M413" s="120">
        <v>15</v>
      </c>
      <c r="N413" s="120">
        <v>40</v>
      </c>
      <c r="O413" s="120">
        <v>2</v>
      </c>
      <c r="P413" s="120">
        <v>20</v>
      </c>
      <c r="Q413" s="120">
        <v>165</v>
      </c>
      <c r="R413" s="120">
        <v>132.39999389648401</v>
      </c>
      <c r="S413" s="148">
        <v>21.799999237060501</v>
      </c>
      <c r="T413" s="120">
        <v>65</v>
      </c>
      <c r="U413" s="120">
        <v>18</v>
      </c>
      <c r="V413" s="120">
        <v>-9999</v>
      </c>
      <c r="W413" s="120">
        <v>-9999</v>
      </c>
      <c r="X413" s="120">
        <v>-9999</v>
      </c>
      <c r="Y413" s="120">
        <v>-9999</v>
      </c>
      <c r="Z413" s="120">
        <v>-9999</v>
      </c>
      <c r="AA413" s="120">
        <v>68</v>
      </c>
      <c r="AB413" s="120">
        <v>14.5</v>
      </c>
      <c r="AC413" s="120">
        <v>412</v>
      </c>
      <c r="AD413" s="120">
        <v>1684</v>
      </c>
      <c r="AE413" s="120">
        <v>-9999</v>
      </c>
      <c r="AF413" s="120">
        <v>-9999</v>
      </c>
      <c r="AG413" s="120">
        <v>-9999</v>
      </c>
    </row>
    <row r="414" spans="1:33" x14ac:dyDescent="0.25">
      <c r="A414" s="120">
        <v>413</v>
      </c>
      <c r="B414" s="120" t="b">
        <v>0</v>
      </c>
      <c r="C414" s="120">
        <v>0</v>
      </c>
      <c r="D414" s="61">
        <v>1</v>
      </c>
      <c r="E414" s="120">
        <v>1</v>
      </c>
      <c r="F414" s="120" t="s">
        <v>178</v>
      </c>
      <c r="G414" s="55">
        <v>150</v>
      </c>
      <c r="H414" s="120">
        <v>608</v>
      </c>
      <c r="I414" s="57">
        <v>150</v>
      </c>
      <c r="J414" s="120">
        <v>150</v>
      </c>
      <c r="K414" s="120">
        <v>3</v>
      </c>
      <c r="L414" s="120">
        <v>40</v>
      </c>
      <c r="M414" s="120">
        <v>15</v>
      </c>
      <c r="N414" s="120">
        <v>40</v>
      </c>
      <c r="O414" s="120">
        <v>2</v>
      </c>
      <c r="P414" s="120">
        <v>16.666999816894499</v>
      </c>
      <c r="Q414" s="120">
        <v>165</v>
      </c>
      <c r="R414" s="120">
        <v>132.39999389648401</v>
      </c>
      <c r="S414" s="148">
        <v>21.799999237060501</v>
      </c>
      <c r="T414" s="120">
        <v>57</v>
      </c>
      <c r="U414" s="120">
        <v>18</v>
      </c>
      <c r="V414" s="120">
        <v>-9999</v>
      </c>
      <c r="W414" s="120">
        <v>-9999</v>
      </c>
      <c r="X414" s="120">
        <v>-9999</v>
      </c>
      <c r="Y414" s="120">
        <v>-9999</v>
      </c>
      <c r="Z414" s="120">
        <v>-9999</v>
      </c>
      <c r="AA414" s="120">
        <v>68</v>
      </c>
      <c r="AB414" s="120">
        <v>14.5</v>
      </c>
      <c r="AC414" s="120">
        <v>413</v>
      </c>
      <c r="AD414" s="120">
        <v>1685</v>
      </c>
      <c r="AE414" s="120">
        <v>-9999</v>
      </c>
      <c r="AF414" s="120">
        <v>-9999</v>
      </c>
      <c r="AG414" s="120">
        <v>-9999</v>
      </c>
    </row>
    <row r="415" spans="1:33" x14ac:dyDescent="0.25">
      <c r="A415" s="120">
        <v>414</v>
      </c>
      <c r="B415" s="120" t="b">
        <v>0</v>
      </c>
      <c r="C415" s="120">
        <v>0</v>
      </c>
      <c r="D415" s="61">
        <v>1</v>
      </c>
      <c r="E415" s="120">
        <v>1</v>
      </c>
      <c r="F415" s="120" t="s">
        <v>178</v>
      </c>
      <c r="G415" s="55">
        <v>150</v>
      </c>
      <c r="H415" s="120">
        <v>581</v>
      </c>
      <c r="I415" s="57">
        <v>150</v>
      </c>
      <c r="J415" s="120">
        <v>160</v>
      </c>
      <c r="K415" s="120">
        <v>4</v>
      </c>
      <c r="L415" s="120">
        <v>100</v>
      </c>
      <c r="M415" s="120">
        <v>15</v>
      </c>
      <c r="N415" s="120">
        <v>40</v>
      </c>
      <c r="O415" s="120">
        <v>2</v>
      </c>
      <c r="P415" s="120">
        <v>-9999</v>
      </c>
      <c r="Q415" s="120">
        <v>157.5</v>
      </c>
      <c r="R415" s="120">
        <v>126.300003051758</v>
      </c>
      <c r="S415" s="148">
        <v>21.799999237060501</v>
      </c>
      <c r="T415" s="120">
        <v>-9999</v>
      </c>
      <c r="U415" s="120">
        <v>18</v>
      </c>
      <c r="V415" s="120">
        <v>-9999</v>
      </c>
      <c r="W415" s="120">
        <v>-9999</v>
      </c>
      <c r="X415" s="120">
        <v>-9999</v>
      </c>
      <c r="Y415" s="120">
        <v>-9999</v>
      </c>
      <c r="Z415" s="120">
        <v>-9999</v>
      </c>
      <c r="AA415" s="120">
        <v>68</v>
      </c>
      <c r="AB415" s="120">
        <v>14.5</v>
      </c>
      <c r="AC415" s="120">
        <v>414</v>
      </c>
      <c r="AD415" s="120">
        <v>1686</v>
      </c>
      <c r="AE415" s="120">
        <v>-9999</v>
      </c>
      <c r="AF415" s="120">
        <v>-9999</v>
      </c>
      <c r="AG415" s="120">
        <v>-9999</v>
      </c>
    </row>
    <row r="416" spans="1:33" x14ac:dyDescent="0.25">
      <c r="A416" s="120">
        <v>415</v>
      </c>
      <c r="B416" s="120" t="b">
        <v>0</v>
      </c>
      <c r="C416" s="120">
        <v>0</v>
      </c>
      <c r="D416" s="61">
        <v>1</v>
      </c>
      <c r="E416" s="120">
        <v>1</v>
      </c>
      <c r="F416" s="120" t="s">
        <v>178</v>
      </c>
      <c r="G416" s="55">
        <v>150</v>
      </c>
      <c r="H416" s="120">
        <v>581</v>
      </c>
      <c r="I416" s="57">
        <v>150</v>
      </c>
      <c r="J416" s="120">
        <v>160</v>
      </c>
      <c r="K416" s="120">
        <v>11</v>
      </c>
      <c r="L416" s="120">
        <v>60</v>
      </c>
      <c r="M416" s="120">
        <v>15</v>
      </c>
      <c r="N416" s="120">
        <v>40</v>
      </c>
      <c r="O416" s="120">
        <v>2</v>
      </c>
      <c r="P416" s="120">
        <v>25</v>
      </c>
      <c r="Q416" s="120">
        <v>157.5</v>
      </c>
      <c r="R416" s="120">
        <v>126.300003051758</v>
      </c>
      <c r="S416" s="148">
        <v>21.799999237060501</v>
      </c>
      <c r="T416" s="120">
        <v>70</v>
      </c>
      <c r="U416" s="120">
        <v>18</v>
      </c>
      <c r="V416" s="120">
        <v>-9999</v>
      </c>
      <c r="W416" s="120">
        <v>-9999</v>
      </c>
      <c r="X416" s="120">
        <v>-9999</v>
      </c>
      <c r="Y416" s="120">
        <v>-9999</v>
      </c>
      <c r="Z416" s="120">
        <v>-9999</v>
      </c>
      <c r="AA416" s="120">
        <v>68</v>
      </c>
      <c r="AB416" s="120">
        <v>14.5</v>
      </c>
      <c r="AC416" s="120">
        <v>415</v>
      </c>
      <c r="AD416" s="120">
        <v>1687</v>
      </c>
      <c r="AE416" s="120">
        <v>-9999</v>
      </c>
      <c r="AF416" s="120">
        <v>-9999</v>
      </c>
      <c r="AG416" s="120">
        <v>-9999</v>
      </c>
    </row>
    <row r="417" spans="1:33" x14ac:dyDescent="0.25">
      <c r="A417" s="120">
        <v>416</v>
      </c>
      <c r="B417" s="120" t="b">
        <v>0</v>
      </c>
      <c r="C417" s="120">
        <v>0</v>
      </c>
      <c r="D417" s="61">
        <v>1</v>
      </c>
      <c r="E417" s="120">
        <v>1</v>
      </c>
      <c r="F417" s="120" t="s">
        <v>178</v>
      </c>
      <c r="G417" s="55">
        <v>150</v>
      </c>
      <c r="H417" s="120">
        <v>533</v>
      </c>
      <c r="I417" s="57">
        <v>165</v>
      </c>
      <c r="J417" s="120">
        <v>175</v>
      </c>
      <c r="K417" s="120">
        <v>1</v>
      </c>
      <c r="L417" s="120">
        <v>50</v>
      </c>
      <c r="M417" s="120">
        <v>15</v>
      </c>
      <c r="N417" s="120">
        <v>40</v>
      </c>
      <c r="O417" s="120">
        <v>2</v>
      </c>
      <c r="P417" s="120">
        <v>5</v>
      </c>
      <c r="Q417" s="120">
        <v>157.5</v>
      </c>
      <c r="R417" s="120">
        <v>126.300003051758</v>
      </c>
      <c r="S417" s="148">
        <v>23.700000762939499</v>
      </c>
      <c r="T417" s="120">
        <v>65</v>
      </c>
      <c r="U417" s="120">
        <v>16</v>
      </c>
      <c r="V417" s="120">
        <v>-9999</v>
      </c>
      <c r="W417" s="120">
        <v>-9999</v>
      </c>
      <c r="X417" s="120">
        <v>-9999</v>
      </c>
      <c r="Y417" s="120">
        <v>-9999</v>
      </c>
      <c r="Z417" s="120">
        <v>-9999</v>
      </c>
      <c r="AA417" s="120">
        <v>68</v>
      </c>
      <c r="AB417" s="120">
        <v>14.5</v>
      </c>
      <c r="AC417" s="120">
        <v>416</v>
      </c>
      <c r="AD417" s="120">
        <v>1688</v>
      </c>
      <c r="AE417" s="120">
        <v>-9999</v>
      </c>
      <c r="AF417" s="120">
        <v>-9999</v>
      </c>
      <c r="AG417" s="120">
        <v>-9999</v>
      </c>
    </row>
    <row r="418" spans="1:33" x14ac:dyDescent="0.25">
      <c r="A418" s="120">
        <v>417</v>
      </c>
      <c r="B418" s="120" t="b">
        <v>0</v>
      </c>
      <c r="C418" s="120">
        <v>0</v>
      </c>
      <c r="D418" s="61">
        <v>1</v>
      </c>
      <c r="E418" s="120">
        <v>1</v>
      </c>
      <c r="F418" s="120" t="s">
        <v>178</v>
      </c>
      <c r="G418" s="55">
        <v>150</v>
      </c>
      <c r="H418" s="120">
        <v>558</v>
      </c>
      <c r="I418" s="57">
        <v>165</v>
      </c>
      <c r="J418" s="120">
        <v>165</v>
      </c>
      <c r="K418" s="120">
        <v>2</v>
      </c>
      <c r="L418" s="120">
        <v>50</v>
      </c>
      <c r="M418" s="120">
        <v>15</v>
      </c>
      <c r="N418" s="120">
        <v>40</v>
      </c>
      <c r="O418" s="120">
        <v>2</v>
      </c>
      <c r="P418" s="120">
        <v>20</v>
      </c>
      <c r="Q418" s="120">
        <v>165</v>
      </c>
      <c r="R418" s="120">
        <v>132.39999389648401</v>
      </c>
      <c r="S418" s="148">
        <v>23.700000762939499</v>
      </c>
      <c r="T418" s="120">
        <v>65</v>
      </c>
      <c r="U418" s="120">
        <v>16</v>
      </c>
      <c r="V418" s="120">
        <v>-9999</v>
      </c>
      <c r="W418" s="120">
        <v>-9999</v>
      </c>
      <c r="X418" s="120">
        <v>-9999</v>
      </c>
      <c r="Y418" s="120">
        <v>-9999</v>
      </c>
      <c r="Z418" s="120">
        <v>-9999</v>
      </c>
      <c r="AA418" s="120">
        <v>68</v>
      </c>
      <c r="AB418" s="120">
        <v>14.5</v>
      </c>
      <c r="AC418" s="120">
        <v>417</v>
      </c>
      <c r="AD418" s="120">
        <v>1689</v>
      </c>
      <c r="AE418" s="120">
        <v>-9999</v>
      </c>
      <c r="AF418" s="120">
        <v>-9999</v>
      </c>
      <c r="AG418" s="120">
        <v>-9999</v>
      </c>
    </row>
    <row r="419" spans="1:33" x14ac:dyDescent="0.25">
      <c r="A419" s="120">
        <v>418</v>
      </c>
      <c r="B419" s="120" t="b">
        <v>0</v>
      </c>
      <c r="C419" s="120">
        <v>0</v>
      </c>
      <c r="D419" s="61">
        <v>1</v>
      </c>
      <c r="E419" s="120">
        <v>1</v>
      </c>
      <c r="F419" s="120" t="s">
        <v>178</v>
      </c>
      <c r="G419" s="55">
        <v>150</v>
      </c>
      <c r="H419" s="120">
        <v>558</v>
      </c>
      <c r="I419" s="57">
        <v>165</v>
      </c>
      <c r="J419" s="120">
        <v>165</v>
      </c>
      <c r="K419" s="120">
        <v>3</v>
      </c>
      <c r="L419" s="120">
        <v>40</v>
      </c>
      <c r="M419" s="120">
        <v>15</v>
      </c>
      <c r="N419" s="120">
        <v>40</v>
      </c>
      <c r="O419" s="120">
        <v>2</v>
      </c>
      <c r="P419" s="120">
        <v>16.666999816894499</v>
      </c>
      <c r="Q419" s="120">
        <v>165</v>
      </c>
      <c r="R419" s="120">
        <v>132.39999389648401</v>
      </c>
      <c r="S419" s="148">
        <v>23.700000762939499</v>
      </c>
      <c r="T419" s="120">
        <v>57</v>
      </c>
      <c r="U419" s="120">
        <v>16</v>
      </c>
      <c r="V419" s="120">
        <v>-9999</v>
      </c>
      <c r="W419" s="120">
        <v>-9999</v>
      </c>
      <c r="X419" s="120">
        <v>-9999</v>
      </c>
      <c r="Y419" s="120">
        <v>-9999</v>
      </c>
      <c r="Z419" s="120">
        <v>-9999</v>
      </c>
      <c r="AA419" s="120">
        <v>68</v>
      </c>
      <c r="AB419" s="120">
        <v>14.5</v>
      </c>
      <c r="AC419" s="120">
        <v>418</v>
      </c>
      <c r="AD419" s="120">
        <v>1690</v>
      </c>
      <c r="AE419" s="120">
        <v>-9999</v>
      </c>
      <c r="AF419" s="120">
        <v>-9999</v>
      </c>
      <c r="AG419" s="120">
        <v>-9999</v>
      </c>
    </row>
    <row r="420" spans="1:33" x14ac:dyDescent="0.25">
      <c r="A420" s="120">
        <v>419</v>
      </c>
      <c r="B420" s="120" t="b">
        <v>0</v>
      </c>
      <c r="C420" s="120">
        <v>0</v>
      </c>
      <c r="D420" s="61">
        <v>1</v>
      </c>
      <c r="E420" s="120">
        <v>1</v>
      </c>
      <c r="F420" s="120" t="s">
        <v>178</v>
      </c>
      <c r="G420" s="55">
        <v>150</v>
      </c>
      <c r="H420" s="120">
        <v>533</v>
      </c>
      <c r="I420" s="57">
        <v>165</v>
      </c>
      <c r="J420" s="120">
        <v>175</v>
      </c>
      <c r="K420" s="120">
        <v>4</v>
      </c>
      <c r="L420" s="120">
        <v>100</v>
      </c>
      <c r="M420" s="120">
        <v>15</v>
      </c>
      <c r="N420" s="120">
        <v>40</v>
      </c>
      <c r="O420" s="120">
        <v>2</v>
      </c>
      <c r="P420" s="120">
        <v>-9999</v>
      </c>
      <c r="Q420" s="120">
        <v>157.5</v>
      </c>
      <c r="R420" s="120">
        <v>126.300003051758</v>
      </c>
      <c r="S420" s="148">
        <v>23.700000762939499</v>
      </c>
      <c r="T420" s="120">
        <v>-9999</v>
      </c>
      <c r="U420" s="120">
        <v>16</v>
      </c>
      <c r="V420" s="120">
        <v>-9999</v>
      </c>
      <c r="W420" s="120">
        <v>-9999</v>
      </c>
      <c r="X420" s="120">
        <v>-9999</v>
      </c>
      <c r="Y420" s="120">
        <v>-9999</v>
      </c>
      <c r="Z420" s="120">
        <v>-9999</v>
      </c>
      <c r="AA420" s="120">
        <v>68</v>
      </c>
      <c r="AB420" s="120">
        <v>14.5</v>
      </c>
      <c r="AC420" s="120">
        <v>419</v>
      </c>
      <c r="AD420" s="120">
        <v>1691</v>
      </c>
      <c r="AE420" s="120">
        <v>-9999</v>
      </c>
      <c r="AF420" s="120">
        <v>-9999</v>
      </c>
      <c r="AG420" s="120">
        <v>-9999</v>
      </c>
    </row>
    <row r="421" spans="1:33" x14ac:dyDescent="0.25">
      <c r="A421" s="120">
        <v>420</v>
      </c>
      <c r="B421" s="120" t="b">
        <v>0</v>
      </c>
      <c r="C421" s="120">
        <v>0</v>
      </c>
      <c r="D421" s="61">
        <v>1</v>
      </c>
      <c r="E421" s="120">
        <v>1</v>
      </c>
      <c r="F421" s="120" t="s">
        <v>178</v>
      </c>
      <c r="G421" s="55">
        <v>150</v>
      </c>
      <c r="H421" s="120">
        <v>533</v>
      </c>
      <c r="I421" s="57">
        <v>165</v>
      </c>
      <c r="J421" s="120">
        <v>175</v>
      </c>
      <c r="K421" s="120">
        <v>11</v>
      </c>
      <c r="L421" s="120">
        <v>60</v>
      </c>
      <c r="M421" s="120">
        <v>15</v>
      </c>
      <c r="N421" s="120">
        <v>40</v>
      </c>
      <c r="O421" s="120">
        <v>2</v>
      </c>
      <c r="P421" s="120">
        <v>25</v>
      </c>
      <c r="Q421" s="120">
        <v>157.5</v>
      </c>
      <c r="R421" s="120">
        <v>126.300003051758</v>
      </c>
      <c r="S421" s="148">
        <v>23.700000762939499</v>
      </c>
      <c r="T421" s="120">
        <v>70</v>
      </c>
      <c r="U421" s="120">
        <v>16</v>
      </c>
      <c r="V421" s="120">
        <v>-9999</v>
      </c>
      <c r="W421" s="120">
        <v>-9999</v>
      </c>
      <c r="X421" s="120">
        <v>-9999</v>
      </c>
      <c r="Y421" s="120">
        <v>-9999</v>
      </c>
      <c r="Z421" s="120">
        <v>-9999</v>
      </c>
      <c r="AA421" s="120">
        <v>68</v>
      </c>
      <c r="AB421" s="120">
        <v>14.5</v>
      </c>
      <c r="AC421" s="120">
        <v>420</v>
      </c>
      <c r="AD421" s="120">
        <v>1692</v>
      </c>
      <c r="AE421" s="120">
        <v>-9999</v>
      </c>
      <c r="AF421" s="120">
        <v>-9999</v>
      </c>
      <c r="AG421" s="120">
        <v>-9999</v>
      </c>
    </row>
    <row r="422" spans="1:33" x14ac:dyDescent="0.25">
      <c r="A422" s="120">
        <v>421</v>
      </c>
      <c r="B422" s="120" t="b">
        <v>0</v>
      </c>
      <c r="C422" s="120">
        <v>0</v>
      </c>
      <c r="D422" s="61">
        <v>1</v>
      </c>
      <c r="E422" s="120">
        <v>1</v>
      </c>
      <c r="F422" s="120" t="s">
        <v>178</v>
      </c>
      <c r="G422" s="55">
        <v>150</v>
      </c>
      <c r="H422" s="120">
        <v>506</v>
      </c>
      <c r="I422" s="57">
        <v>175</v>
      </c>
      <c r="J422" s="120">
        <v>185</v>
      </c>
      <c r="K422" s="120">
        <v>1</v>
      </c>
      <c r="L422" s="120">
        <v>50</v>
      </c>
      <c r="M422" s="120">
        <v>15</v>
      </c>
      <c r="N422" s="120">
        <v>40</v>
      </c>
      <c r="O422" s="120">
        <v>2</v>
      </c>
      <c r="P422" s="120">
        <v>5</v>
      </c>
      <c r="Q422" s="120">
        <v>157.5</v>
      </c>
      <c r="R422" s="120">
        <v>126.300003051758</v>
      </c>
      <c r="S422" s="148">
        <v>25</v>
      </c>
      <c r="T422" s="120">
        <v>65</v>
      </c>
      <c r="U422" s="120">
        <v>15</v>
      </c>
      <c r="V422" s="120">
        <v>-9999</v>
      </c>
      <c r="W422" s="120">
        <v>-9999</v>
      </c>
      <c r="X422" s="120">
        <v>-9999</v>
      </c>
      <c r="Y422" s="120">
        <v>-9999</v>
      </c>
      <c r="Z422" s="120">
        <v>-9999</v>
      </c>
      <c r="AA422" s="120">
        <v>68</v>
      </c>
      <c r="AB422" s="120">
        <v>14.5</v>
      </c>
      <c r="AC422" s="120">
        <v>421</v>
      </c>
      <c r="AD422" s="120">
        <v>1693</v>
      </c>
      <c r="AE422" s="120">
        <v>-9999</v>
      </c>
      <c r="AF422" s="120">
        <v>-9999</v>
      </c>
      <c r="AG422" s="120">
        <v>-9999</v>
      </c>
    </row>
    <row r="423" spans="1:33" x14ac:dyDescent="0.25">
      <c r="A423" s="120">
        <v>422</v>
      </c>
      <c r="B423" s="120" t="b">
        <v>0</v>
      </c>
      <c r="C423" s="120">
        <v>0</v>
      </c>
      <c r="D423" s="61">
        <v>1</v>
      </c>
      <c r="E423" s="120">
        <v>1</v>
      </c>
      <c r="F423" s="120" t="s">
        <v>178</v>
      </c>
      <c r="G423" s="55">
        <v>150</v>
      </c>
      <c r="H423" s="120">
        <v>530</v>
      </c>
      <c r="I423" s="57">
        <v>175</v>
      </c>
      <c r="J423" s="120">
        <v>175</v>
      </c>
      <c r="K423" s="120">
        <v>2</v>
      </c>
      <c r="L423" s="120">
        <v>50</v>
      </c>
      <c r="M423" s="120">
        <v>15</v>
      </c>
      <c r="N423" s="120">
        <v>40</v>
      </c>
      <c r="O423" s="120">
        <v>2</v>
      </c>
      <c r="P423" s="120">
        <v>20</v>
      </c>
      <c r="Q423" s="120">
        <v>165</v>
      </c>
      <c r="R423" s="120">
        <v>132.39999389648401</v>
      </c>
      <c r="S423" s="148">
        <v>25</v>
      </c>
      <c r="T423" s="120">
        <v>65</v>
      </c>
      <c r="U423" s="120">
        <v>15</v>
      </c>
      <c r="V423" s="120">
        <v>-9999</v>
      </c>
      <c r="W423" s="120">
        <v>-9999</v>
      </c>
      <c r="X423" s="120">
        <v>-9999</v>
      </c>
      <c r="Y423" s="120">
        <v>-9999</v>
      </c>
      <c r="Z423" s="120">
        <v>-9999</v>
      </c>
      <c r="AA423" s="120">
        <v>68</v>
      </c>
      <c r="AB423" s="120">
        <v>14.5</v>
      </c>
      <c r="AC423" s="120">
        <v>422</v>
      </c>
      <c r="AD423" s="120">
        <v>1694</v>
      </c>
      <c r="AE423" s="120">
        <v>-9999</v>
      </c>
      <c r="AF423" s="120">
        <v>-9999</v>
      </c>
      <c r="AG423" s="120">
        <v>-9999</v>
      </c>
    </row>
    <row r="424" spans="1:33" x14ac:dyDescent="0.25">
      <c r="A424" s="120">
        <v>423</v>
      </c>
      <c r="B424" s="120" t="b">
        <v>0</v>
      </c>
      <c r="C424" s="120">
        <v>0</v>
      </c>
      <c r="D424" s="61">
        <v>1</v>
      </c>
      <c r="E424" s="120">
        <v>1</v>
      </c>
      <c r="F424" s="120" t="s">
        <v>178</v>
      </c>
      <c r="G424" s="55">
        <v>150</v>
      </c>
      <c r="H424" s="120">
        <v>530</v>
      </c>
      <c r="I424" s="57">
        <v>175</v>
      </c>
      <c r="J424" s="120">
        <v>175</v>
      </c>
      <c r="K424" s="120">
        <v>3</v>
      </c>
      <c r="L424" s="120">
        <v>40</v>
      </c>
      <c r="M424" s="120">
        <v>15</v>
      </c>
      <c r="N424" s="120">
        <v>40</v>
      </c>
      <c r="O424" s="120">
        <v>2</v>
      </c>
      <c r="P424" s="120">
        <v>16.666999816894499</v>
      </c>
      <c r="Q424" s="120">
        <v>165</v>
      </c>
      <c r="R424" s="120">
        <v>132.39999389648401</v>
      </c>
      <c r="S424" s="148">
        <v>25</v>
      </c>
      <c r="T424" s="120">
        <v>57</v>
      </c>
      <c r="U424" s="120">
        <v>15</v>
      </c>
      <c r="V424" s="120">
        <v>-9999</v>
      </c>
      <c r="W424" s="120">
        <v>-9999</v>
      </c>
      <c r="X424" s="120">
        <v>-9999</v>
      </c>
      <c r="Y424" s="120">
        <v>-9999</v>
      </c>
      <c r="Z424" s="120">
        <v>-9999</v>
      </c>
      <c r="AA424" s="120">
        <v>68</v>
      </c>
      <c r="AB424" s="120">
        <v>14.5</v>
      </c>
      <c r="AC424" s="120">
        <v>423</v>
      </c>
      <c r="AD424" s="120">
        <v>1695</v>
      </c>
      <c r="AE424" s="120">
        <v>-9999</v>
      </c>
      <c r="AF424" s="120">
        <v>-9999</v>
      </c>
      <c r="AG424" s="120">
        <v>-9999</v>
      </c>
    </row>
    <row r="425" spans="1:33" x14ac:dyDescent="0.25">
      <c r="A425" s="120">
        <v>424</v>
      </c>
      <c r="B425" s="120" t="b">
        <v>0</v>
      </c>
      <c r="C425" s="120">
        <v>0</v>
      </c>
      <c r="D425" s="61">
        <v>1</v>
      </c>
      <c r="E425" s="120">
        <v>1</v>
      </c>
      <c r="F425" s="120" t="s">
        <v>178</v>
      </c>
      <c r="G425" s="55">
        <v>150</v>
      </c>
      <c r="H425" s="120">
        <v>506</v>
      </c>
      <c r="I425" s="57">
        <v>175</v>
      </c>
      <c r="J425" s="120">
        <v>185</v>
      </c>
      <c r="K425" s="120">
        <v>4</v>
      </c>
      <c r="L425" s="120">
        <v>100</v>
      </c>
      <c r="M425" s="120">
        <v>15</v>
      </c>
      <c r="N425" s="120">
        <v>40</v>
      </c>
      <c r="O425" s="120">
        <v>2</v>
      </c>
      <c r="P425" s="120">
        <v>-9999</v>
      </c>
      <c r="Q425" s="120">
        <v>157.5</v>
      </c>
      <c r="R425" s="120">
        <v>126.300003051758</v>
      </c>
      <c r="S425" s="148">
        <v>25</v>
      </c>
      <c r="T425" s="120">
        <v>-9999</v>
      </c>
      <c r="U425" s="120">
        <v>15</v>
      </c>
      <c r="V425" s="120">
        <v>-9999</v>
      </c>
      <c r="W425" s="120">
        <v>-9999</v>
      </c>
      <c r="X425" s="120">
        <v>-9999</v>
      </c>
      <c r="Y425" s="120">
        <v>-9999</v>
      </c>
      <c r="Z425" s="120">
        <v>-9999</v>
      </c>
      <c r="AA425" s="120">
        <v>68</v>
      </c>
      <c r="AB425" s="120">
        <v>14.5</v>
      </c>
      <c r="AC425" s="120">
        <v>424</v>
      </c>
      <c r="AD425" s="120">
        <v>1696</v>
      </c>
      <c r="AE425" s="120">
        <v>-9999</v>
      </c>
      <c r="AF425" s="120">
        <v>-9999</v>
      </c>
      <c r="AG425" s="120">
        <v>-9999</v>
      </c>
    </row>
    <row r="426" spans="1:33" x14ac:dyDescent="0.25">
      <c r="A426" s="120">
        <v>425</v>
      </c>
      <c r="B426" s="120" t="b">
        <v>0</v>
      </c>
      <c r="C426" s="120">
        <v>0</v>
      </c>
      <c r="D426" s="61">
        <v>1</v>
      </c>
      <c r="E426" s="120">
        <v>1</v>
      </c>
      <c r="F426" s="120" t="s">
        <v>178</v>
      </c>
      <c r="G426" s="55">
        <v>150</v>
      </c>
      <c r="H426" s="120">
        <v>506</v>
      </c>
      <c r="I426" s="57">
        <v>175</v>
      </c>
      <c r="J426" s="120">
        <v>185</v>
      </c>
      <c r="K426" s="120">
        <v>11</v>
      </c>
      <c r="L426" s="120">
        <v>60</v>
      </c>
      <c r="M426" s="120">
        <v>15</v>
      </c>
      <c r="N426" s="120">
        <v>40</v>
      </c>
      <c r="O426" s="120">
        <v>2</v>
      </c>
      <c r="P426" s="120">
        <v>25</v>
      </c>
      <c r="Q426" s="120">
        <v>157.5</v>
      </c>
      <c r="R426" s="120">
        <v>126.300003051758</v>
      </c>
      <c r="S426" s="148">
        <v>25</v>
      </c>
      <c r="T426" s="120">
        <v>70</v>
      </c>
      <c r="U426" s="120">
        <v>15</v>
      </c>
      <c r="V426" s="120">
        <v>-9999</v>
      </c>
      <c r="W426" s="120">
        <v>-9999</v>
      </c>
      <c r="X426" s="120">
        <v>-9999</v>
      </c>
      <c r="Y426" s="120">
        <v>-9999</v>
      </c>
      <c r="Z426" s="120">
        <v>-9999</v>
      </c>
      <c r="AA426" s="120">
        <v>68</v>
      </c>
      <c r="AB426" s="120">
        <v>14.5</v>
      </c>
      <c r="AC426" s="120">
        <v>425</v>
      </c>
      <c r="AD426" s="120">
        <v>1697</v>
      </c>
      <c r="AE426" s="120">
        <v>-9999</v>
      </c>
      <c r="AF426" s="120">
        <v>-9999</v>
      </c>
      <c r="AG426" s="120">
        <v>-9999</v>
      </c>
    </row>
    <row r="427" spans="1:33" x14ac:dyDescent="0.25">
      <c r="A427" s="120">
        <v>426</v>
      </c>
      <c r="B427" s="120" t="b">
        <v>0</v>
      </c>
      <c r="C427" s="120">
        <v>0</v>
      </c>
      <c r="D427" s="61">
        <v>1</v>
      </c>
      <c r="E427" s="120">
        <v>1</v>
      </c>
      <c r="F427" s="120" t="s">
        <v>178</v>
      </c>
      <c r="G427" s="55">
        <v>150</v>
      </c>
      <c r="H427" s="120">
        <v>440</v>
      </c>
      <c r="I427" s="57">
        <v>200</v>
      </c>
      <c r="J427" s="120">
        <v>210</v>
      </c>
      <c r="K427" s="120">
        <v>1</v>
      </c>
      <c r="L427" s="120">
        <v>50</v>
      </c>
      <c r="M427" s="120">
        <v>15</v>
      </c>
      <c r="N427" s="120">
        <v>40</v>
      </c>
      <c r="O427" s="120">
        <v>2</v>
      </c>
      <c r="P427" s="120">
        <v>5</v>
      </c>
      <c r="Q427" s="120">
        <v>157.5</v>
      </c>
      <c r="R427" s="120">
        <v>126.300003051758</v>
      </c>
      <c r="S427" s="148">
        <v>28.700000762939499</v>
      </c>
      <c r="T427" s="120">
        <v>65</v>
      </c>
      <c r="U427" s="120">
        <v>14</v>
      </c>
      <c r="V427" s="120">
        <v>-9999</v>
      </c>
      <c r="W427" s="120">
        <v>-9999</v>
      </c>
      <c r="X427" s="120">
        <v>-9999</v>
      </c>
      <c r="Y427" s="120">
        <v>-9999</v>
      </c>
      <c r="Z427" s="120">
        <v>-9999</v>
      </c>
      <c r="AA427" s="120">
        <v>68</v>
      </c>
      <c r="AB427" s="120">
        <v>14.5</v>
      </c>
      <c r="AC427" s="120">
        <v>426</v>
      </c>
      <c r="AD427" s="120">
        <v>1698</v>
      </c>
      <c r="AE427" s="120">
        <v>-9999</v>
      </c>
      <c r="AF427" s="120">
        <v>-9999</v>
      </c>
      <c r="AG427" s="120">
        <v>-9999</v>
      </c>
    </row>
    <row r="428" spans="1:33" x14ac:dyDescent="0.25">
      <c r="A428" s="120">
        <v>427</v>
      </c>
      <c r="B428" s="120" t="b">
        <v>0</v>
      </c>
      <c r="C428" s="120">
        <v>0</v>
      </c>
      <c r="D428" s="61">
        <v>1</v>
      </c>
      <c r="E428" s="120">
        <v>1</v>
      </c>
      <c r="F428" s="120" t="s">
        <v>178</v>
      </c>
      <c r="G428" s="55">
        <v>150</v>
      </c>
      <c r="H428" s="120">
        <v>461</v>
      </c>
      <c r="I428" s="57">
        <v>200</v>
      </c>
      <c r="J428" s="120">
        <v>200</v>
      </c>
      <c r="K428" s="120">
        <v>2</v>
      </c>
      <c r="L428" s="120">
        <v>50</v>
      </c>
      <c r="M428" s="120">
        <v>15</v>
      </c>
      <c r="N428" s="120">
        <v>40</v>
      </c>
      <c r="O428" s="120">
        <v>2</v>
      </c>
      <c r="P428" s="120">
        <v>20</v>
      </c>
      <c r="Q428" s="120">
        <v>165</v>
      </c>
      <c r="R428" s="120">
        <v>132.39999389648401</v>
      </c>
      <c r="S428" s="148">
        <v>28.700000762939499</v>
      </c>
      <c r="T428" s="120">
        <v>65</v>
      </c>
      <c r="U428" s="120">
        <v>14</v>
      </c>
      <c r="V428" s="120">
        <v>-9999</v>
      </c>
      <c r="W428" s="120">
        <v>-9999</v>
      </c>
      <c r="X428" s="120">
        <v>-9999</v>
      </c>
      <c r="Y428" s="120">
        <v>-9999</v>
      </c>
      <c r="Z428" s="120">
        <v>-9999</v>
      </c>
      <c r="AA428" s="120">
        <v>68</v>
      </c>
      <c r="AB428" s="120">
        <v>14.5</v>
      </c>
      <c r="AC428" s="120">
        <v>427</v>
      </c>
      <c r="AD428" s="120">
        <v>1699</v>
      </c>
      <c r="AE428" s="120">
        <v>-9999</v>
      </c>
      <c r="AF428" s="120">
        <v>-9999</v>
      </c>
      <c r="AG428" s="120">
        <v>-9999</v>
      </c>
    </row>
    <row r="429" spans="1:33" x14ac:dyDescent="0.25">
      <c r="A429" s="120">
        <v>428</v>
      </c>
      <c r="B429" s="120" t="b">
        <v>0</v>
      </c>
      <c r="C429" s="120">
        <v>0</v>
      </c>
      <c r="D429" s="61">
        <v>1</v>
      </c>
      <c r="E429" s="120">
        <v>1</v>
      </c>
      <c r="F429" s="120" t="s">
        <v>178</v>
      </c>
      <c r="G429" s="55">
        <v>150</v>
      </c>
      <c r="H429" s="120">
        <v>461</v>
      </c>
      <c r="I429" s="57">
        <v>200</v>
      </c>
      <c r="J429" s="120">
        <v>200</v>
      </c>
      <c r="K429" s="120">
        <v>3</v>
      </c>
      <c r="L429" s="120">
        <v>40</v>
      </c>
      <c r="M429" s="120">
        <v>15</v>
      </c>
      <c r="N429" s="120">
        <v>40</v>
      </c>
      <c r="O429" s="120">
        <v>2</v>
      </c>
      <c r="P429" s="120">
        <v>16.666999816894499</v>
      </c>
      <c r="Q429" s="120">
        <v>165</v>
      </c>
      <c r="R429" s="120">
        <v>132.39999389648401</v>
      </c>
      <c r="S429" s="148">
        <v>28.700000762939499</v>
      </c>
      <c r="T429" s="120">
        <v>57</v>
      </c>
      <c r="U429" s="120">
        <v>14</v>
      </c>
      <c r="V429" s="120">
        <v>-9999</v>
      </c>
      <c r="W429" s="120">
        <v>-9999</v>
      </c>
      <c r="X429" s="120">
        <v>-9999</v>
      </c>
      <c r="Y429" s="120">
        <v>-9999</v>
      </c>
      <c r="Z429" s="120">
        <v>-9999</v>
      </c>
      <c r="AA429" s="120">
        <v>68</v>
      </c>
      <c r="AB429" s="120">
        <v>14.5</v>
      </c>
      <c r="AC429" s="120">
        <v>428</v>
      </c>
      <c r="AD429" s="120">
        <v>1700</v>
      </c>
      <c r="AE429" s="120">
        <v>-9999</v>
      </c>
      <c r="AF429" s="120">
        <v>-9999</v>
      </c>
      <c r="AG429" s="120">
        <v>-9999</v>
      </c>
    </row>
    <row r="430" spans="1:33" x14ac:dyDescent="0.25">
      <c r="A430" s="120">
        <v>429</v>
      </c>
      <c r="B430" s="120" t="b">
        <v>0</v>
      </c>
      <c r="C430" s="120">
        <v>0</v>
      </c>
      <c r="D430" s="61">
        <v>1</v>
      </c>
      <c r="E430" s="120">
        <v>1</v>
      </c>
      <c r="F430" s="120" t="s">
        <v>178</v>
      </c>
      <c r="G430" s="55">
        <v>150</v>
      </c>
      <c r="H430" s="120">
        <v>440</v>
      </c>
      <c r="I430" s="57">
        <v>200</v>
      </c>
      <c r="J430" s="120">
        <v>210</v>
      </c>
      <c r="K430" s="120">
        <v>4</v>
      </c>
      <c r="L430" s="120">
        <v>100</v>
      </c>
      <c r="M430" s="120">
        <v>15</v>
      </c>
      <c r="N430" s="120">
        <v>40</v>
      </c>
      <c r="O430" s="120">
        <v>2</v>
      </c>
      <c r="P430" s="120">
        <v>-9999</v>
      </c>
      <c r="Q430" s="120">
        <v>157.5</v>
      </c>
      <c r="R430" s="120">
        <v>126.300003051758</v>
      </c>
      <c r="S430" s="148">
        <v>28.700000762939499</v>
      </c>
      <c r="T430" s="120">
        <v>-9999</v>
      </c>
      <c r="U430" s="120">
        <v>14</v>
      </c>
      <c r="V430" s="120">
        <v>-9999</v>
      </c>
      <c r="W430" s="120">
        <v>-9999</v>
      </c>
      <c r="X430" s="120">
        <v>-9999</v>
      </c>
      <c r="Y430" s="120">
        <v>-9999</v>
      </c>
      <c r="Z430" s="120">
        <v>-9999</v>
      </c>
      <c r="AA430" s="120">
        <v>68</v>
      </c>
      <c r="AB430" s="120">
        <v>14.5</v>
      </c>
      <c r="AC430" s="120">
        <v>429</v>
      </c>
      <c r="AD430" s="120">
        <v>1701</v>
      </c>
      <c r="AE430" s="120">
        <v>-9999</v>
      </c>
      <c r="AF430" s="120">
        <v>-9999</v>
      </c>
      <c r="AG430" s="120">
        <v>-9999</v>
      </c>
    </row>
    <row r="431" spans="1:33" x14ac:dyDescent="0.25">
      <c r="A431" s="120">
        <v>430</v>
      </c>
      <c r="B431" s="120" t="b">
        <v>0</v>
      </c>
      <c r="C431" s="120">
        <v>0</v>
      </c>
      <c r="D431" s="61">
        <v>1</v>
      </c>
      <c r="E431" s="120">
        <v>1</v>
      </c>
      <c r="F431" s="120" t="s">
        <v>178</v>
      </c>
      <c r="G431" s="55">
        <v>150</v>
      </c>
      <c r="H431" s="120">
        <v>440</v>
      </c>
      <c r="I431" s="57">
        <v>200</v>
      </c>
      <c r="J431" s="120">
        <v>210</v>
      </c>
      <c r="K431" s="120">
        <v>11</v>
      </c>
      <c r="L431" s="120">
        <v>60</v>
      </c>
      <c r="M431" s="120">
        <v>15</v>
      </c>
      <c r="N431" s="120">
        <v>40</v>
      </c>
      <c r="O431" s="120">
        <v>2</v>
      </c>
      <c r="P431" s="120">
        <v>25</v>
      </c>
      <c r="Q431" s="120">
        <v>157.5</v>
      </c>
      <c r="R431" s="120">
        <v>126.300003051758</v>
      </c>
      <c r="S431" s="148">
        <v>28.700000762939499</v>
      </c>
      <c r="T431" s="120">
        <v>70</v>
      </c>
      <c r="U431" s="120">
        <v>14</v>
      </c>
      <c r="V431" s="120">
        <v>-9999</v>
      </c>
      <c r="W431" s="120">
        <v>-9999</v>
      </c>
      <c r="X431" s="120">
        <v>-9999</v>
      </c>
      <c r="Y431" s="120">
        <v>-9999</v>
      </c>
      <c r="Z431" s="120">
        <v>-9999</v>
      </c>
      <c r="AA431" s="120">
        <v>68</v>
      </c>
      <c r="AB431" s="120">
        <v>14.5</v>
      </c>
      <c r="AC431" s="120">
        <v>430</v>
      </c>
      <c r="AD431" s="120">
        <v>1702</v>
      </c>
      <c r="AE431" s="120">
        <v>-9999</v>
      </c>
      <c r="AF431" s="120">
        <v>-9999</v>
      </c>
      <c r="AG431" s="120">
        <v>-9999</v>
      </c>
    </row>
    <row r="432" spans="1:33" x14ac:dyDescent="0.25">
      <c r="A432" s="120">
        <v>431</v>
      </c>
      <c r="B432" s="120" t="b">
        <v>0</v>
      </c>
      <c r="C432" s="120">
        <v>0</v>
      </c>
      <c r="D432" s="61">
        <v>1</v>
      </c>
      <c r="E432" s="120">
        <v>1</v>
      </c>
      <c r="F432" s="120" t="s">
        <v>179</v>
      </c>
      <c r="G432" s="55">
        <v>200</v>
      </c>
      <c r="H432" s="120">
        <v>963</v>
      </c>
      <c r="I432" s="57">
        <v>100</v>
      </c>
      <c r="J432" s="120">
        <v>110</v>
      </c>
      <c r="K432" s="120">
        <v>1</v>
      </c>
      <c r="L432" s="120">
        <v>50</v>
      </c>
      <c r="M432" s="120">
        <v>15</v>
      </c>
      <c r="N432" s="120">
        <v>40</v>
      </c>
      <c r="O432" s="120">
        <v>2</v>
      </c>
      <c r="P432" s="120">
        <v>5</v>
      </c>
      <c r="Q432" s="120">
        <v>210</v>
      </c>
      <c r="R432" s="120">
        <v>166.5</v>
      </c>
      <c r="S432" s="148">
        <v>17.299999237060501</v>
      </c>
      <c r="T432" s="120">
        <v>65</v>
      </c>
      <c r="U432" s="120">
        <v>20</v>
      </c>
      <c r="V432" s="120">
        <v>-9999</v>
      </c>
      <c r="W432" s="120">
        <v>-9999</v>
      </c>
      <c r="X432" s="120">
        <v>-9999</v>
      </c>
      <c r="Y432" s="120">
        <v>-9999</v>
      </c>
      <c r="Z432" s="120">
        <v>-9999</v>
      </c>
      <c r="AA432" s="120">
        <v>68</v>
      </c>
      <c r="AB432" s="120">
        <v>14.5</v>
      </c>
      <c r="AC432" s="120">
        <v>431</v>
      </c>
      <c r="AD432" s="120">
        <v>1703</v>
      </c>
      <c r="AE432" s="120">
        <v>-9999</v>
      </c>
      <c r="AF432" s="120">
        <v>-9999</v>
      </c>
      <c r="AG432" s="120">
        <v>-9999</v>
      </c>
    </row>
    <row r="433" spans="1:33" x14ac:dyDescent="0.25">
      <c r="A433" s="120">
        <v>432</v>
      </c>
      <c r="B433" s="120" t="b">
        <v>0</v>
      </c>
      <c r="C433" s="120">
        <v>0</v>
      </c>
      <c r="D433" s="61">
        <v>1</v>
      </c>
      <c r="E433" s="120">
        <v>1</v>
      </c>
      <c r="F433" s="120" t="s">
        <v>179</v>
      </c>
      <c r="G433" s="55">
        <v>200</v>
      </c>
      <c r="H433" s="120">
        <v>1009</v>
      </c>
      <c r="I433" s="57">
        <v>100</v>
      </c>
      <c r="J433" s="120">
        <v>100</v>
      </c>
      <c r="K433" s="120">
        <v>2</v>
      </c>
      <c r="L433" s="120">
        <v>50</v>
      </c>
      <c r="M433" s="120">
        <v>15</v>
      </c>
      <c r="N433" s="120">
        <v>40</v>
      </c>
      <c r="O433" s="120">
        <v>2</v>
      </c>
      <c r="P433" s="120">
        <v>20</v>
      </c>
      <c r="Q433" s="120">
        <v>220</v>
      </c>
      <c r="R433" s="120">
        <v>174.39999389648401</v>
      </c>
      <c r="S433" s="148">
        <v>17.299999237060501</v>
      </c>
      <c r="T433" s="120">
        <v>65</v>
      </c>
      <c r="U433" s="120">
        <v>20</v>
      </c>
      <c r="V433" s="120">
        <v>-9999</v>
      </c>
      <c r="W433" s="120">
        <v>-9999</v>
      </c>
      <c r="X433" s="120">
        <v>-9999</v>
      </c>
      <c r="Y433" s="120">
        <v>-9999</v>
      </c>
      <c r="Z433" s="120">
        <v>-9999</v>
      </c>
      <c r="AA433" s="120">
        <v>68</v>
      </c>
      <c r="AB433" s="120">
        <v>14.5</v>
      </c>
      <c r="AC433" s="120">
        <v>432</v>
      </c>
      <c r="AD433" s="120">
        <v>1704</v>
      </c>
      <c r="AE433" s="120">
        <v>-9999</v>
      </c>
      <c r="AF433" s="120">
        <v>-9999</v>
      </c>
      <c r="AG433" s="120">
        <v>-9999</v>
      </c>
    </row>
    <row r="434" spans="1:33" x14ac:dyDescent="0.25">
      <c r="A434" s="120">
        <v>433</v>
      </c>
      <c r="B434" s="120" t="b">
        <v>0</v>
      </c>
      <c r="C434" s="120">
        <v>0</v>
      </c>
      <c r="D434" s="61">
        <v>1</v>
      </c>
      <c r="E434" s="120">
        <v>1</v>
      </c>
      <c r="F434" s="120" t="s">
        <v>179</v>
      </c>
      <c r="G434" s="55">
        <v>200</v>
      </c>
      <c r="H434" s="120">
        <v>1009</v>
      </c>
      <c r="I434" s="57">
        <v>100</v>
      </c>
      <c r="J434" s="120">
        <v>100</v>
      </c>
      <c r="K434" s="120">
        <v>3</v>
      </c>
      <c r="L434" s="120">
        <v>40</v>
      </c>
      <c r="M434" s="120">
        <v>15</v>
      </c>
      <c r="N434" s="120">
        <v>40</v>
      </c>
      <c r="O434" s="120">
        <v>2</v>
      </c>
      <c r="P434" s="120">
        <v>16.666999816894499</v>
      </c>
      <c r="Q434" s="120">
        <v>220</v>
      </c>
      <c r="R434" s="120">
        <v>174.39999389648401</v>
      </c>
      <c r="S434" s="148">
        <v>17.299999237060501</v>
      </c>
      <c r="T434" s="120">
        <v>57</v>
      </c>
      <c r="U434" s="120">
        <v>20</v>
      </c>
      <c r="V434" s="120">
        <v>-9999</v>
      </c>
      <c r="W434" s="120">
        <v>-9999</v>
      </c>
      <c r="X434" s="120">
        <v>-9999</v>
      </c>
      <c r="Y434" s="120">
        <v>-9999</v>
      </c>
      <c r="Z434" s="120">
        <v>-9999</v>
      </c>
      <c r="AA434" s="120">
        <v>68</v>
      </c>
      <c r="AB434" s="120">
        <v>14.5</v>
      </c>
      <c r="AC434" s="120">
        <v>433</v>
      </c>
      <c r="AD434" s="120">
        <v>1705</v>
      </c>
      <c r="AE434" s="120">
        <v>-9999</v>
      </c>
      <c r="AF434" s="120">
        <v>-9999</v>
      </c>
      <c r="AG434" s="120">
        <v>-9999</v>
      </c>
    </row>
    <row r="435" spans="1:33" x14ac:dyDescent="0.25">
      <c r="A435" s="120">
        <v>434</v>
      </c>
      <c r="B435" s="120" t="b">
        <v>0</v>
      </c>
      <c r="C435" s="120">
        <v>0</v>
      </c>
      <c r="D435" s="61">
        <v>1</v>
      </c>
      <c r="E435" s="120">
        <v>1</v>
      </c>
      <c r="F435" s="120" t="s">
        <v>179</v>
      </c>
      <c r="G435" s="55">
        <v>200</v>
      </c>
      <c r="H435" s="120">
        <v>963</v>
      </c>
      <c r="I435" s="57">
        <v>100</v>
      </c>
      <c r="J435" s="120">
        <v>110</v>
      </c>
      <c r="K435" s="120">
        <v>4</v>
      </c>
      <c r="L435" s="120">
        <v>100</v>
      </c>
      <c r="M435" s="120">
        <v>15</v>
      </c>
      <c r="N435" s="120">
        <v>40</v>
      </c>
      <c r="O435" s="120">
        <v>2</v>
      </c>
      <c r="P435" s="120">
        <v>-9999</v>
      </c>
      <c r="Q435" s="120">
        <v>210</v>
      </c>
      <c r="R435" s="120">
        <v>166.5</v>
      </c>
      <c r="S435" s="148">
        <v>17.299999237060501</v>
      </c>
      <c r="T435" s="120">
        <v>-9999</v>
      </c>
      <c r="U435" s="120">
        <v>20</v>
      </c>
      <c r="V435" s="120">
        <v>-9999</v>
      </c>
      <c r="W435" s="120">
        <v>-9999</v>
      </c>
      <c r="X435" s="120">
        <v>-9999</v>
      </c>
      <c r="Y435" s="120">
        <v>-9999</v>
      </c>
      <c r="Z435" s="120">
        <v>-9999</v>
      </c>
      <c r="AA435" s="120">
        <v>68</v>
      </c>
      <c r="AB435" s="120">
        <v>14.5</v>
      </c>
      <c r="AC435" s="120">
        <v>434</v>
      </c>
      <c r="AD435" s="120">
        <v>1706</v>
      </c>
      <c r="AE435" s="120">
        <v>-9999</v>
      </c>
      <c r="AF435" s="120">
        <v>-9999</v>
      </c>
      <c r="AG435" s="120">
        <v>-9999</v>
      </c>
    </row>
    <row r="436" spans="1:33" x14ac:dyDescent="0.25">
      <c r="A436" s="120">
        <v>435</v>
      </c>
      <c r="B436" s="120" t="b">
        <v>0</v>
      </c>
      <c r="C436" s="120">
        <v>0</v>
      </c>
      <c r="D436" s="61">
        <v>1</v>
      </c>
      <c r="E436" s="120">
        <v>1</v>
      </c>
      <c r="F436" s="120" t="s">
        <v>179</v>
      </c>
      <c r="G436" s="55">
        <v>200</v>
      </c>
      <c r="H436" s="120">
        <v>963</v>
      </c>
      <c r="I436" s="57">
        <v>100</v>
      </c>
      <c r="J436" s="120">
        <v>110</v>
      </c>
      <c r="K436" s="120">
        <v>11</v>
      </c>
      <c r="L436" s="120">
        <v>60</v>
      </c>
      <c r="M436" s="120">
        <v>15</v>
      </c>
      <c r="N436" s="120">
        <v>40</v>
      </c>
      <c r="O436" s="120">
        <v>2</v>
      </c>
      <c r="P436" s="120">
        <v>25</v>
      </c>
      <c r="Q436" s="120">
        <v>210</v>
      </c>
      <c r="R436" s="120">
        <v>166.5</v>
      </c>
      <c r="S436" s="148">
        <v>17.299999237060501</v>
      </c>
      <c r="T436" s="120">
        <v>70</v>
      </c>
      <c r="U436" s="120">
        <v>20</v>
      </c>
      <c r="V436" s="120">
        <v>-9999</v>
      </c>
      <c r="W436" s="120">
        <v>-9999</v>
      </c>
      <c r="X436" s="120">
        <v>-9999</v>
      </c>
      <c r="Y436" s="120">
        <v>-9999</v>
      </c>
      <c r="Z436" s="120">
        <v>-9999</v>
      </c>
      <c r="AA436" s="120">
        <v>68</v>
      </c>
      <c r="AB436" s="120">
        <v>14.5</v>
      </c>
      <c r="AC436" s="120">
        <v>435</v>
      </c>
      <c r="AD436" s="120">
        <v>1707</v>
      </c>
      <c r="AE436" s="120">
        <v>-9999</v>
      </c>
      <c r="AF436" s="120">
        <v>-9999</v>
      </c>
      <c r="AG436" s="120">
        <v>-9999</v>
      </c>
    </row>
    <row r="437" spans="1:33" x14ac:dyDescent="0.25">
      <c r="A437" s="120">
        <v>436</v>
      </c>
      <c r="B437" s="120" t="b">
        <v>0</v>
      </c>
      <c r="C437" s="120">
        <v>0</v>
      </c>
      <c r="D437" s="61">
        <v>1</v>
      </c>
      <c r="E437" s="120">
        <v>1</v>
      </c>
      <c r="F437" s="120" t="s">
        <v>179</v>
      </c>
      <c r="G437" s="55">
        <v>200</v>
      </c>
      <c r="H437" s="120">
        <v>939</v>
      </c>
      <c r="I437" s="57">
        <v>110</v>
      </c>
      <c r="J437" s="120">
        <v>120</v>
      </c>
      <c r="K437" s="120">
        <v>1</v>
      </c>
      <c r="L437" s="120">
        <v>50</v>
      </c>
      <c r="M437" s="120">
        <v>15</v>
      </c>
      <c r="N437" s="120">
        <v>40</v>
      </c>
      <c r="O437" s="120">
        <v>2</v>
      </c>
      <c r="P437" s="120">
        <v>5</v>
      </c>
      <c r="Q437" s="120">
        <v>210</v>
      </c>
      <c r="R437" s="120">
        <v>166.5</v>
      </c>
      <c r="S437" s="148">
        <v>17.700000762939499</v>
      </c>
      <c r="T437" s="120">
        <v>65</v>
      </c>
      <c r="U437" s="120">
        <v>19</v>
      </c>
      <c r="V437" s="120">
        <v>-9999</v>
      </c>
      <c r="W437" s="120">
        <v>-9999</v>
      </c>
      <c r="X437" s="120">
        <v>-9999</v>
      </c>
      <c r="Y437" s="120">
        <v>-9999</v>
      </c>
      <c r="Z437" s="120">
        <v>-9999</v>
      </c>
      <c r="AA437" s="120">
        <v>68</v>
      </c>
      <c r="AB437" s="120">
        <v>14.5</v>
      </c>
      <c r="AC437" s="120">
        <v>436</v>
      </c>
      <c r="AD437" s="120">
        <v>1708</v>
      </c>
      <c r="AE437" s="120">
        <v>-9999</v>
      </c>
      <c r="AF437" s="120">
        <v>-9999</v>
      </c>
      <c r="AG437" s="120">
        <v>-9999</v>
      </c>
    </row>
    <row r="438" spans="1:33" x14ac:dyDescent="0.25">
      <c r="A438" s="120">
        <v>437</v>
      </c>
      <c r="B438" s="120" t="b">
        <v>0</v>
      </c>
      <c r="C438" s="120">
        <v>0</v>
      </c>
      <c r="D438" s="61">
        <v>1</v>
      </c>
      <c r="E438" s="120">
        <v>1</v>
      </c>
      <c r="F438" s="120" t="s">
        <v>179</v>
      </c>
      <c r="G438" s="55">
        <v>200</v>
      </c>
      <c r="H438" s="120">
        <v>983</v>
      </c>
      <c r="I438" s="57">
        <v>110</v>
      </c>
      <c r="J438" s="120">
        <v>110</v>
      </c>
      <c r="K438" s="120">
        <v>2</v>
      </c>
      <c r="L438" s="120">
        <v>50</v>
      </c>
      <c r="M438" s="120">
        <v>15</v>
      </c>
      <c r="N438" s="120">
        <v>40</v>
      </c>
      <c r="O438" s="120">
        <v>2</v>
      </c>
      <c r="P438" s="120">
        <v>20</v>
      </c>
      <c r="Q438" s="120">
        <v>220</v>
      </c>
      <c r="R438" s="120">
        <v>174.39999389648401</v>
      </c>
      <c r="S438" s="148">
        <v>17.700000762939499</v>
      </c>
      <c r="T438" s="120">
        <v>65</v>
      </c>
      <c r="U438" s="120">
        <v>19</v>
      </c>
      <c r="V438" s="120">
        <v>-9999</v>
      </c>
      <c r="W438" s="120">
        <v>-9999</v>
      </c>
      <c r="X438" s="120">
        <v>-9999</v>
      </c>
      <c r="Y438" s="120">
        <v>-9999</v>
      </c>
      <c r="Z438" s="120">
        <v>-9999</v>
      </c>
      <c r="AA438" s="120">
        <v>68</v>
      </c>
      <c r="AB438" s="120">
        <v>14.5</v>
      </c>
      <c r="AC438" s="120">
        <v>437</v>
      </c>
      <c r="AD438" s="120">
        <v>1709</v>
      </c>
      <c r="AE438" s="120">
        <v>-9999</v>
      </c>
      <c r="AF438" s="120">
        <v>-9999</v>
      </c>
      <c r="AG438" s="120">
        <v>-9999</v>
      </c>
    </row>
    <row r="439" spans="1:33" x14ac:dyDescent="0.25">
      <c r="A439" s="120">
        <v>438</v>
      </c>
      <c r="B439" s="120" t="b">
        <v>0</v>
      </c>
      <c r="C439" s="120">
        <v>0</v>
      </c>
      <c r="D439" s="61">
        <v>1</v>
      </c>
      <c r="E439" s="120">
        <v>1</v>
      </c>
      <c r="F439" s="120" t="s">
        <v>179</v>
      </c>
      <c r="G439" s="55">
        <v>200</v>
      </c>
      <c r="H439" s="120">
        <v>983</v>
      </c>
      <c r="I439" s="57">
        <v>110</v>
      </c>
      <c r="J439" s="120">
        <v>110</v>
      </c>
      <c r="K439" s="120">
        <v>3</v>
      </c>
      <c r="L439" s="120">
        <v>40</v>
      </c>
      <c r="M439" s="120">
        <v>15</v>
      </c>
      <c r="N439" s="120">
        <v>40</v>
      </c>
      <c r="O439" s="120">
        <v>2</v>
      </c>
      <c r="P439" s="120">
        <v>16.666999816894499</v>
      </c>
      <c r="Q439" s="120">
        <v>220</v>
      </c>
      <c r="R439" s="120">
        <v>174.39999389648401</v>
      </c>
      <c r="S439" s="148">
        <v>17.700000762939499</v>
      </c>
      <c r="T439" s="120">
        <v>57</v>
      </c>
      <c r="U439" s="120">
        <v>19</v>
      </c>
      <c r="V439" s="120">
        <v>-9999</v>
      </c>
      <c r="W439" s="120">
        <v>-9999</v>
      </c>
      <c r="X439" s="120">
        <v>-9999</v>
      </c>
      <c r="Y439" s="120">
        <v>-9999</v>
      </c>
      <c r="Z439" s="120">
        <v>-9999</v>
      </c>
      <c r="AA439" s="120">
        <v>68</v>
      </c>
      <c r="AB439" s="120">
        <v>14.5</v>
      </c>
      <c r="AC439" s="120">
        <v>438</v>
      </c>
      <c r="AD439" s="120">
        <v>1710</v>
      </c>
      <c r="AE439" s="120">
        <v>-9999</v>
      </c>
      <c r="AF439" s="120">
        <v>-9999</v>
      </c>
      <c r="AG439" s="120">
        <v>-9999</v>
      </c>
    </row>
    <row r="440" spans="1:33" x14ac:dyDescent="0.25">
      <c r="A440" s="120">
        <v>439</v>
      </c>
      <c r="B440" s="120" t="b">
        <v>0</v>
      </c>
      <c r="C440" s="120">
        <v>0</v>
      </c>
      <c r="D440" s="61">
        <v>1</v>
      </c>
      <c r="E440" s="120">
        <v>1</v>
      </c>
      <c r="F440" s="120" t="s">
        <v>179</v>
      </c>
      <c r="G440" s="55">
        <v>200</v>
      </c>
      <c r="H440" s="120">
        <v>939</v>
      </c>
      <c r="I440" s="57">
        <v>110</v>
      </c>
      <c r="J440" s="120">
        <v>120</v>
      </c>
      <c r="K440" s="120">
        <v>4</v>
      </c>
      <c r="L440" s="120">
        <v>100</v>
      </c>
      <c r="M440" s="120">
        <v>15</v>
      </c>
      <c r="N440" s="120">
        <v>40</v>
      </c>
      <c r="O440" s="120">
        <v>2</v>
      </c>
      <c r="P440" s="120">
        <v>-9999</v>
      </c>
      <c r="Q440" s="120">
        <v>210</v>
      </c>
      <c r="R440" s="120">
        <v>166.5</v>
      </c>
      <c r="S440" s="148">
        <v>17.700000762939499</v>
      </c>
      <c r="T440" s="120">
        <v>-9999</v>
      </c>
      <c r="U440" s="120">
        <v>19</v>
      </c>
      <c r="V440" s="120">
        <v>-9999</v>
      </c>
      <c r="W440" s="120">
        <v>-9999</v>
      </c>
      <c r="X440" s="120">
        <v>-9999</v>
      </c>
      <c r="Y440" s="120">
        <v>-9999</v>
      </c>
      <c r="Z440" s="120">
        <v>-9999</v>
      </c>
      <c r="AA440" s="120">
        <v>68</v>
      </c>
      <c r="AB440" s="120">
        <v>14.5</v>
      </c>
      <c r="AC440" s="120">
        <v>439</v>
      </c>
      <c r="AD440" s="120">
        <v>1711</v>
      </c>
      <c r="AE440" s="120">
        <v>-9999</v>
      </c>
      <c r="AF440" s="120">
        <v>-9999</v>
      </c>
      <c r="AG440" s="120">
        <v>-9999</v>
      </c>
    </row>
    <row r="441" spans="1:33" x14ac:dyDescent="0.25">
      <c r="A441" s="120">
        <v>440</v>
      </c>
      <c r="B441" s="120" t="b">
        <v>0</v>
      </c>
      <c r="C441" s="120">
        <v>0</v>
      </c>
      <c r="D441" s="61">
        <v>1</v>
      </c>
      <c r="E441" s="120">
        <v>1</v>
      </c>
      <c r="F441" s="120" t="s">
        <v>179</v>
      </c>
      <c r="G441" s="55">
        <v>200</v>
      </c>
      <c r="H441" s="120">
        <v>939</v>
      </c>
      <c r="I441" s="57">
        <v>110</v>
      </c>
      <c r="J441" s="120">
        <v>120</v>
      </c>
      <c r="K441" s="120">
        <v>11</v>
      </c>
      <c r="L441" s="120">
        <v>60</v>
      </c>
      <c r="M441" s="120">
        <v>15</v>
      </c>
      <c r="N441" s="120">
        <v>40</v>
      </c>
      <c r="O441" s="120">
        <v>2</v>
      </c>
      <c r="P441" s="120">
        <v>25</v>
      </c>
      <c r="Q441" s="120">
        <v>210</v>
      </c>
      <c r="R441" s="120">
        <v>166.5</v>
      </c>
      <c r="S441" s="148">
        <v>17.700000762939499</v>
      </c>
      <c r="T441" s="120">
        <v>70</v>
      </c>
      <c r="U441" s="120">
        <v>19</v>
      </c>
      <c r="V441" s="120">
        <v>-9999</v>
      </c>
      <c r="W441" s="120">
        <v>-9999</v>
      </c>
      <c r="X441" s="120">
        <v>-9999</v>
      </c>
      <c r="Y441" s="120">
        <v>-9999</v>
      </c>
      <c r="Z441" s="120">
        <v>-9999</v>
      </c>
      <c r="AA441" s="120">
        <v>68</v>
      </c>
      <c r="AB441" s="120">
        <v>14.5</v>
      </c>
      <c r="AC441" s="120">
        <v>440</v>
      </c>
      <c r="AD441" s="120">
        <v>1712</v>
      </c>
      <c r="AE441" s="120">
        <v>-9999</v>
      </c>
      <c r="AF441" s="120">
        <v>-9999</v>
      </c>
      <c r="AG441" s="120">
        <v>-9999</v>
      </c>
    </row>
    <row r="442" spans="1:33" x14ac:dyDescent="0.25">
      <c r="A442" s="120">
        <v>441</v>
      </c>
      <c r="B442" s="120" t="b">
        <v>0</v>
      </c>
      <c r="C442" s="120">
        <v>0</v>
      </c>
      <c r="D442" s="61">
        <v>1</v>
      </c>
      <c r="E442" s="120">
        <v>1</v>
      </c>
      <c r="F442" s="120" t="s">
        <v>179</v>
      </c>
      <c r="G442" s="55">
        <v>200</v>
      </c>
      <c r="H442" s="120">
        <v>891</v>
      </c>
      <c r="I442" s="57">
        <v>115</v>
      </c>
      <c r="J442" s="120">
        <v>125</v>
      </c>
      <c r="K442" s="120">
        <v>1</v>
      </c>
      <c r="L442" s="120">
        <v>50</v>
      </c>
      <c r="M442" s="120">
        <v>15</v>
      </c>
      <c r="N442" s="120">
        <v>40</v>
      </c>
      <c r="O442" s="120">
        <v>2</v>
      </c>
      <c r="P442" s="120">
        <v>5</v>
      </c>
      <c r="Q442" s="120">
        <v>210</v>
      </c>
      <c r="R442" s="120">
        <v>166.5</v>
      </c>
      <c r="S442" s="148">
        <v>18.700000762939499</v>
      </c>
      <c r="T442" s="120">
        <v>65</v>
      </c>
      <c r="U442" s="120">
        <v>19</v>
      </c>
      <c r="V442" s="120">
        <v>-9999</v>
      </c>
      <c r="W442" s="120">
        <v>-9999</v>
      </c>
      <c r="X442" s="120">
        <v>-9999</v>
      </c>
      <c r="Y442" s="120">
        <v>-9999</v>
      </c>
      <c r="Z442" s="120">
        <v>-9999</v>
      </c>
      <c r="AA442" s="120">
        <v>68</v>
      </c>
      <c r="AB442" s="120">
        <v>14.5</v>
      </c>
      <c r="AC442" s="120">
        <v>441</v>
      </c>
      <c r="AD442" s="120">
        <v>1713</v>
      </c>
      <c r="AE442" s="120">
        <v>-9999</v>
      </c>
      <c r="AF442" s="120">
        <v>-9999</v>
      </c>
      <c r="AG442" s="120">
        <v>-9999</v>
      </c>
    </row>
    <row r="443" spans="1:33" x14ac:dyDescent="0.25">
      <c r="A443" s="120">
        <v>442</v>
      </c>
      <c r="B443" s="120" t="b">
        <v>0</v>
      </c>
      <c r="C443" s="120">
        <v>0</v>
      </c>
      <c r="D443" s="61">
        <v>1</v>
      </c>
      <c r="E443" s="120">
        <v>1</v>
      </c>
      <c r="F443" s="120" t="s">
        <v>179</v>
      </c>
      <c r="G443" s="55">
        <v>200</v>
      </c>
      <c r="H443" s="120">
        <v>933</v>
      </c>
      <c r="I443" s="57">
        <v>115</v>
      </c>
      <c r="J443" s="120">
        <v>115</v>
      </c>
      <c r="K443" s="120">
        <v>2</v>
      </c>
      <c r="L443" s="120">
        <v>50</v>
      </c>
      <c r="M443" s="120">
        <v>15</v>
      </c>
      <c r="N443" s="120">
        <v>40</v>
      </c>
      <c r="O443" s="120">
        <v>2</v>
      </c>
      <c r="P443" s="120">
        <v>20</v>
      </c>
      <c r="Q443" s="120">
        <v>220</v>
      </c>
      <c r="R443" s="120">
        <v>174.39999389648401</v>
      </c>
      <c r="S443" s="148">
        <v>18.700000762939499</v>
      </c>
      <c r="T443" s="120">
        <v>65</v>
      </c>
      <c r="U443" s="120">
        <v>19</v>
      </c>
      <c r="V443" s="120">
        <v>-9999</v>
      </c>
      <c r="W443" s="120">
        <v>-9999</v>
      </c>
      <c r="X443" s="120">
        <v>-9999</v>
      </c>
      <c r="Y443" s="120">
        <v>-9999</v>
      </c>
      <c r="Z443" s="120">
        <v>-9999</v>
      </c>
      <c r="AA443" s="120">
        <v>68</v>
      </c>
      <c r="AB443" s="120">
        <v>14.5</v>
      </c>
      <c r="AC443" s="120">
        <v>442</v>
      </c>
      <c r="AD443" s="120">
        <v>1714</v>
      </c>
      <c r="AE443" s="120">
        <v>-9999</v>
      </c>
      <c r="AF443" s="120">
        <v>-9999</v>
      </c>
      <c r="AG443" s="120">
        <v>-9999</v>
      </c>
    </row>
    <row r="444" spans="1:33" x14ac:dyDescent="0.25">
      <c r="A444" s="120">
        <v>443</v>
      </c>
      <c r="B444" s="120" t="b">
        <v>0</v>
      </c>
      <c r="C444" s="120">
        <v>0</v>
      </c>
      <c r="D444" s="61">
        <v>1</v>
      </c>
      <c r="E444" s="120">
        <v>1</v>
      </c>
      <c r="F444" s="120" t="s">
        <v>179</v>
      </c>
      <c r="G444" s="55">
        <v>200</v>
      </c>
      <c r="H444" s="120">
        <v>933</v>
      </c>
      <c r="I444" s="57">
        <v>115</v>
      </c>
      <c r="J444" s="120">
        <v>115</v>
      </c>
      <c r="K444" s="120">
        <v>3</v>
      </c>
      <c r="L444" s="120">
        <v>40</v>
      </c>
      <c r="M444" s="120">
        <v>15</v>
      </c>
      <c r="N444" s="120">
        <v>40</v>
      </c>
      <c r="O444" s="120">
        <v>2</v>
      </c>
      <c r="P444" s="120">
        <v>16.666999816894499</v>
      </c>
      <c r="Q444" s="120">
        <v>220</v>
      </c>
      <c r="R444" s="120">
        <v>174.39999389648401</v>
      </c>
      <c r="S444" s="148">
        <v>18.700000762939499</v>
      </c>
      <c r="T444" s="120">
        <v>57</v>
      </c>
      <c r="U444" s="120">
        <v>19</v>
      </c>
      <c r="V444" s="120">
        <v>-9999</v>
      </c>
      <c r="W444" s="120">
        <v>-9999</v>
      </c>
      <c r="X444" s="120">
        <v>-9999</v>
      </c>
      <c r="Y444" s="120">
        <v>-9999</v>
      </c>
      <c r="Z444" s="120">
        <v>-9999</v>
      </c>
      <c r="AA444" s="120">
        <v>68</v>
      </c>
      <c r="AB444" s="120">
        <v>14.5</v>
      </c>
      <c r="AC444" s="120">
        <v>443</v>
      </c>
      <c r="AD444" s="120">
        <v>1715</v>
      </c>
      <c r="AE444" s="120">
        <v>-9999</v>
      </c>
      <c r="AF444" s="120">
        <v>-9999</v>
      </c>
      <c r="AG444" s="120">
        <v>-9999</v>
      </c>
    </row>
    <row r="445" spans="1:33" x14ac:dyDescent="0.25">
      <c r="A445" s="120">
        <v>444</v>
      </c>
      <c r="B445" s="120" t="b">
        <v>0</v>
      </c>
      <c r="C445" s="120">
        <v>0</v>
      </c>
      <c r="D445" s="61">
        <v>1</v>
      </c>
      <c r="E445" s="120">
        <v>1</v>
      </c>
      <c r="F445" s="120" t="s">
        <v>179</v>
      </c>
      <c r="G445" s="55">
        <v>200</v>
      </c>
      <c r="H445" s="120">
        <v>891</v>
      </c>
      <c r="I445" s="57">
        <v>115</v>
      </c>
      <c r="J445" s="120">
        <v>125</v>
      </c>
      <c r="K445" s="120">
        <v>4</v>
      </c>
      <c r="L445" s="120">
        <v>100</v>
      </c>
      <c r="M445" s="120">
        <v>15</v>
      </c>
      <c r="N445" s="120">
        <v>40</v>
      </c>
      <c r="O445" s="120">
        <v>2</v>
      </c>
      <c r="P445" s="120">
        <v>-9999</v>
      </c>
      <c r="Q445" s="120">
        <v>210</v>
      </c>
      <c r="R445" s="120">
        <v>166.5</v>
      </c>
      <c r="S445" s="148">
        <v>18.700000762939499</v>
      </c>
      <c r="T445" s="120">
        <v>-9999</v>
      </c>
      <c r="U445" s="120">
        <v>19</v>
      </c>
      <c r="V445" s="120">
        <v>-9999</v>
      </c>
      <c r="W445" s="120">
        <v>-9999</v>
      </c>
      <c r="X445" s="120">
        <v>-9999</v>
      </c>
      <c r="Y445" s="120">
        <v>-9999</v>
      </c>
      <c r="Z445" s="120">
        <v>-9999</v>
      </c>
      <c r="AA445" s="120">
        <v>68</v>
      </c>
      <c r="AB445" s="120">
        <v>14.5</v>
      </c>
      <c r="AC445" s="120">
        <v>444</v>
      </c>
      <c r="AD445" s="120">
        <v>1716</v>
      </c>
      <c r="AE445" s="120">
        <v>-9999</v>
      </c>
      <c r="AF445" s="120">
        <v>-9999</v>
      </c>
      <c r="AG445" s="120">
        <v>-9999</v>
      </c>
    </row>
    <row r="446" spans="1:33" x14ac:dyDescent="0.25">
      <c r="A446" s="120">
        <v>445</v>
      </c>
      <c r="B446" s="120" t="b">
        <v>0</v>
      </c>
      <c r="C446" s="120">
        <v>0</v>
      </c>
      <c r="D446" s="61">
        <v>1</v>
      </c>
      <c r="E446" s="120">
        <v>1</v>
      </c>
      <c r="F446" s="120" t="s">
        <v>179</v>
      </c>
      <c r="G446" s="55">
        <v>200</v>
      </c>
      <c r="H446" s="120">
        <v>891</v>
      </c>
      <c r="I446" s="57">
        <v>115</v>
      </c>
      <c r="J446" s="120">
        <v>125</v>
      </c>
      <c r="K446" s="120">
        <v>11</v>
      </c>
      <c r="L446" s="120">
        <v>60</v>
      </c>
      <c r="M446" s="120">
        <v>15</v>
      </c>
      <c r="N446" s="120">
        <v>40</v>
      </c>
      <c r="O446" s="120">
        <v>2</v>
      </c>
      <c r="P446" s="120">
        <v>25</v>
      </c>
      <c r="Q446" s="120">
        <v>210</v>
      </c>
      <c r="R446" s="120">
        <v>166.5</v>
      </c>
      <c r="S446" s="148">
        <v>18.700000762939499</v>
      </c>
      <c r="T446" s="120">
        <v>70</v>
      </c>
      <c r="U446" s="120">
        <v>19</v>
      </c>
      <c r="V446" s="120">
        <v>-9999</v>
      </c>
      <c r="W446" s="120">
        <v>-9999</v>
      </c>
      <c r="X446" s="120">
        <v>-9999</v>
      </c>
      <c r="Y446" s="120">
        <v>-9999</v>
      </c>
      <c r="Z446" s="120">
        <v>-9999</v>
      </c>
      <c r="AA446" s="120">
        <v>68</v>
      </c>
      <c r="AB446" s="120">
        <v>14.5</v>
      </c>
      <c r="AC446" s="120">
        <v>445</v>
      </c>
      <c r="AD446" s="120">
        <v>1717</v>
      </c>
      <c r="AE446" s="120">
        <v>-9999</v>
      </c>
      <c r="AF446" s="120">
        <v>-9999</v>
      </c>
      <c r="AG446" s="120">
        <v>-9999</v>
      </c>
    </row>
    <row r="447" spans="1:33" x14ac:dyDescent="0.25">
      <c r="A447" s="120">
        <v>446</v>
      </c>
      <c r="B447" s="120" t="b">
        <v>0</v>
      </c>
      <c r="C447" s="120">
        <v>0</v>
      </c>
      <c r="D447" s="61">
        <v>1</v>
      </c>
      <c r="E447" s="120">
        <v>1</v>
      </c>
      <c r="F447" s="120" t="s">
        <v>179</v>
      </c>
      <c r="G447" s="55">
        <v>200</v>
      </c>
      <c r="H447" s="120">
        <v>855</v>
      </c>
      <c r="I447" s="57">
        <v>125</v>
      </c>
      <c r="J447" s="120">
        <v>135</v>
      </c>
      <c r="K447" s="120">
        <v>1</v>
      </c>
      <c r="L447" s="120">
        <v>50</v>
      </c>
      <c r="M447" s="120">
        <v>15</v>
      </c>
      <c r="N447" s="120">
        <v>40</v>
      </c>
      <c r="O447" s="120">
        <v>2</v>
      </c>
      <c r="P447" s="120">
        <v>5</v>
      </c>
      <c r="Q447" s="120">
        <v>210</v>
      </c>
      <c r="R447" s="120">
        <v>166.5</v>
      </c>
      <c r="S447" s="148">
        <v>19.5</v>
      </c>
      <c r="T447" s="120">
        <v>65</v>
      </c>
      <c r="U447" s="120">
        <v>17</v>
      </c>
      <c r="V447" s="120">
        <v>-9999</v>
      </c>
      <c r="W447" s="120">
        <v>-9999</v>
      </c>
      <c r="X447" s="120">
        <v>-9999</v>
      </c>
      <c r="Y447" s="120">
        <v>-9999</v>
      </c>
      <c r="Z447" s="120">
        <v>-9999</v>
      </c>
      <c r="AA447" s="120">
        <v>68</v>
      </c>
      <c r="AB447" s="120">
        <v>14.5</v>
      </c>
      <c r="AC447" s="120">
        <v>446</v>
      </c>
      <c r="AD447" s="120">
        <v>1718</v>
      </c>
      <c r="AE447" s="120">
        <v>-9999</v>
      </c>
      <c r="AF447" s="120">
        <v>-9999</v>
      </c>
      <c r="AG447" s="120">
        <v>-9999</v>
      </c>
    </row>
    <row r="448" spans="1:33" x14ac:dyDescent="0.25">
      <c r="A448" s="120">
        <v>447</v>
      </c>
      <c r="B448" s="120" t="b">
        <v>0</v>
      </c>
      <c r="C448" s="120">
        <v>0</v>
      </c>
      <c r="D448" s="61">
        <v>1</v>
      </c>
      <c r="E448" s="120">
        <v>1</v>
      </c>
      <c r="F448" s="120" t="s">
        <v>179</v>
      </c>
      <c r="G448" s="55">
        <v>200</v>
      </c>
      <c r="H448" s="120">
        <v>895</v>
      </c>
      <c r="I448" s="57">
        <v>125</v>
      </c>
      <c r="J448" s="120">
        <v>125</v>
      </c>
      <c r="K448" s="120">
        <v>2</v>
      </c>
      <c r="L448" s="120">
        <v>50</v>
      </c>
      <c r="M448" s="120">
        <v>15</v>
      </c>
      <c r="N448" s="120">
        <v>40</v>
      </c>
      <c r="O448" s="120">
        <v>2</v>
      </c>
      <c r="P448" s="120">
        <v>20</v>
      </c>
      <c r="Q448" s="120">
        <v>220</v>
      </c>
      <c r="R448" s="120">
        <v>174.39999389648401</v>
      </c>
      <c r="S448" s="148">
        <v>19.5</v>
      </c>
      <c r="T448" s="120">
        <v>65</v>
      </c>
      <c r="U448" s="120">
        <v>17</v>
      </c>
      <c r="V448" s="120">
        <v>-9999</v>
      </c>
      <c r="W448" s="120">
        <v>-9999</v>
      </c>
      <c r="X448" s="120">
        <v>-9999</v>
      </c>
      <c r="Y448" s="120">
        <v>-9999</v>
      </c>
      <c r="Z448" s="120">
        <v>-9999</v>
      </c>
      <c r="AA448" s="120">
        <v>68</v>
      </c>
      <c r="AB448" s="120">
        <v>14.5</v>
      </c>
      <c r="AC448" s="120">
        <v>447</v>
      </c>
      <c r="AD448" s="120">
        <v>1719</v>
      </c>
      <c r="AE448" s="120">
        <v>-9999</v>
      </c>
      <c r="AF448" s="120">
        <v>-9999</v>
      </c>
      <c r="AG448" s="120">
        <v>-9999</v>
      </c>
    </row>
    <row r="449" spans="1:33" x14ac:dyDescent="0.25">
      <c r="A449" s="120">
        <v>448</v>
      </c>
      <c r="B449" s="120" t="b">
        <v>0</v>
      </c>
      <c r="C449" s="120">
        <v>0</v>
      </c>
      <c r="D449" s="61">
        <v>1</v>
      </c>
      <c r="E449" s="120">
        <v>1</v>
      </c>
      <c r="F449" s="120" t="s">
        <v>179</v>
      </c>
      <c r="G449" s="55">
        <v>200</v>
      </c>
      <c r="H449" s="120">
        <v>895</v>
      </c>
      <c r="I449" s="57">
        <v>125</v>
      </c>
      <c r="J449" s="120">
        <v>125</v>
      </c>
      <c r="K449" s="120">
        <v>3</v>
      </c>
      <c r="L449" s="120">
        <v>40</v>
      </c>
      <c r="M449" s="120">
        <v>15</v>
      </c>
      <c r="N449" s="120">
        <v>40</v>
      </c>
      <c r="O449" s="120">
        <v>2</v>
      </c>
      <c r="P449" s="120">
        <v>16.666999816894499</v>
      </c>
      <c r="Q449" s="120">
        <v>220</v>
      </c>
      <c r="R449" s="120">
        <v>174.39999389648401</v>
      </c>
      <c r="S449" s="148">
        <v>19.5</v>
      </c>
      <c r="T449" s="120">
        <v>57</v>
      </c>
      <c r="U449" s="120">
        <v>17</v>
      </c>
      <c r="V449" s="120">
        <v>-9999</v>
      </c>
      <c r="W449" s="120">
        <v>-9999</v>
      </c>
      <c r="X449" s="120">
        <v>-9999</v>
      </c>
      <c r="Y449" s="120">
        <v>-9999</v>
      </c>
      <c r="Z449" s="120">
        <v>-9999</v>
      </c>
      <c r="AA449" s="120">
        <v>68</v>
      </c>
      <c r="AB449" s="120">
        <v>14.5</v>
      </c>
      <c r="AC449" s="120">
        <v>448</v>
      </c>
      <c r="AD449" s="120">
        <v>1720</v>
      </c>
      <c r="AE449" s="120">
        <v>-9999</v>
      </c>
      <c r="AF449" s="120">
        <v>-9999</v>
      </c>
      <c r="AG449" s="120">
        <v>-9999</v>
      </c>
    </row>
    <row r="450" spans="1:33" x14ac:dyDescent="0.25">
      <c r="A450" s="120">
        <v>449</v>
      </c>
      <c r="B450" s="120" t="b">
        <v>0</v>
      </c>
      <c r="C450" s="120">
        <v>0</v>
      </c>
      <c r="D450" s="61">
        <v>1</v>
      </c>
      <c r="E450" s="120">
        <v>1</v>
      </c>
      <c r="F450" s="120" t="s">
        <v>179</v>
      </c>
      <c r="G450" s="55">
        <v>200</v>
      </c>
      <c r="H450" s="120">
        <v>855</v>
      </c>
      <c r="I450" s="57">
        <v>125</v>
      </c>
      <c r="J450" s="120">
        <v>135</v>
      </c>
      <c r="K450" s="120">
        <v>4</v>
      </c>
      <c r="L450" s="120">
        <v>100</v>
      </c>
      <c r="M450" s="120">
        <v>15</v>
      </c>
      <c r="N450" s="120">
        <v>40</v>
      </c>
      <c r="O450" s="120">
        <v>2</v>
      </c>
      <c r="P450" s="120">
        <v>-9999</v>
      </c>
      <c r="Q450" s="120">
        <v>210</v>
      </c>
      <c r="R450" s="120">
        <v>166.5</v>
      </c>
      <c r="S450" s="148">
        <v>19.5</v>
      </c>
      <c r="T450" s="120">
        <v>-9999</v>
      </c>
      <c r="U450" s="120">
        <v>17</v>
      </c>
      <c r="V450" s="120">
        <v>-9999</v>
      </c>
      <c r="W450" s="120">
        <v>-9999</v>
      </c>
      <c r="X450" s="120">
        <v>-9999</v>
      </c>
      <c r="Y450" s="120">
        <v>-9999</v>
      </c>
      <c r="Z450" s="120">
        <v>-9999</v>
      </c>
      <c r="AA450" s="120">
        <v>68</v>
      </c>
      <c r="AB450" s="120">
        <v>14.5</v>
      </c>
      <c r="AC450" s="120">
        <v>449</v>
      </c>
      <c r="AD450" s="120">
        <v>1721</v>
      </c>
      <c r="AE450" s="120">
        <v>-9999</v>
      </c>
      <c r="AF450" s="120">
        <v>-9999</v>
      </c>
      <c r="AG450" s="120">
        <v>-9999</v>
      </c>
    </row>
    <row r="451" spans="1:33" x14ac:dyDescent="0.25">
      <c r="A451" s="120">
        <v>450</v>
      </c>
      <c r="B451" s="120" t="b">
        <v>0</v>
      </c>
      <c r="C451" s="120">
        <v>0</v>
      </c>
      <c r="D451" s="61">
        <v>1</v>
      </c>
      <c r="E451" s="120">
        <v>1</v>
      </c>
      <c r="F451" s="120" t="s">
        <v>179</v>
      </c>
      <c r="G451" s="55">
        <v>200</v>
      </c>
      <c r="H451" s="120">
        <v>855</v>
      </c>
      <c r="I451" s="57">
        <v>125</v>
      </c>
      <c r="J451" s="120">
        <v>135</v>
      </c>
      <c r="K451" s="120">
        <v>11</v>
      </c>
      <c r="L451" s="120">
        <v>60</v>
      </c>
      <c r="M451" s="120">
        <v>15</v>
      </c>
      <c r="N451" s="120">
        <v>40</v>
      </c>
      <c r="O451" s="120">
        <v>2</v>
      </c>
      <c r="P451" s="120">
        <v>25</v>
      </c>
      <c r="Q451" s="120">
        <v>210</v>
      </c>
      <c r="R451" s="120">
        <v>166.5</v>
      </c>
      <c r="S451" s="148">
        <v>19.5</v>
      </c>
      <c r="T451" s="120">
        <v>70</v>
      </c>
      <c r="U451" s="120">
        <v>17</v>
      </c>
      <c r="V451" s="120">
        <v>-9999</v>
      </c>
      <c r="W451" s="120">
        <v>-9999</v>
      </c>
      <c r="X451" s="120">
        <v>-9999</v>
      </c>
      <c r="Y451" s="120">
        <v>-9999</v>
      </c>
      <c r="Z451" s="120">
        <v>-9999</v>
      </c>
      <c r="AA451" s="120">
        <v>68</v>
      </c>
      <c r="AB451" s="120">
        <v>14.5</v>
      </c>
      <c r="AC451" s="120">
        <v>450</v>
      </c>
      <c r="AD451" s="120">
        <v>1722</v>
      </c>
      <c r="AE451" s="120">
        <v>-9999</v>
      </c>
      <c r="AF451" s="120">
        <v>-9999</v>
      </c>
      <c r="AG451" s="120">
        <v>-9999</v>
      </c>
    </row>
    <row r="452" spans="1:33" x14ac:dyDescent="0.25">
      <c r="A452" s="120">
        <v>451</v>
      </c>
      <c r="B452" s="120" t="b">
        <v>0</v>
      </c>
      <c r="C452" s="120">
        <v>0</v>
      </c>
      <c r="D452" s="61">
        <v>1</v>
      </c>
      <c r="E452" s="120">
        <v>1</v>
      </c>
      <c r="F452" s="120" t="s">
        <v>179</v>
      </c>
      <c r="G452" s="55">
        <v>200</v>
      </c>
      <c r="H452" s="120">
        <v>775</v>
      </c>
      <c r="I452" s="57">
        <v>140</v>
      </c>
      <c r="J452" s="120">
        <v>150</v>
      </c>
      <c r="K452" s="120">
        <v>1</v>
      </c>
      <c r="L452" s="120">
        <v>50</v>
      </c>
      <c r="M452" s="120">
        <v>15</v>
      </c>
      <c r="N452" s="120">
        <v>40</v>
      </c>
      <c r="O452" s="120">
        <v>2</v>
      </c>
      <c r="P452" s="120">
        <v>5</v>
      </c>
      <c r="Q452" s="120">
        <v>210</v>
      </c>
      <c r="R452" s="120">
        <v>166.5</v>
      </c>
      <c r="S452" s="148">
        <v>21.5</v>
      </c>
      <c r="T452" s="120">
        <v>65</v>
      </c>
      <c r="U452" s="120">
        <v>15</v>
      </c>
      <c r="V452" s="120">
        <v>-9999</v>
      </c>
      <c r="W452" s="120">
        <v>-9999</v>
      </c>
      <c r="X452" s="120">
        <v>-9999</v>
      </c>
      <c r="Y452" s="120">
        <v>-9999</v>
      </c>
      <c r="Z452" s="120">
        <v>-9999</v>
      </c>
      <c r="AA452" s="120">
        <v>68</v>
      </c>
      <c r="AB452" s="120">
        <v>14.5</v>
      </c>
      <c r="AC452" s="120">
        <v>451</v>
      </c>
      <c r="AD452" s="120">
        <v>1723</v>
      </c>
      <c r="AE452" s="120">
        <v>-9999</v>
      </c>
      <c r="AF452" s="120">
        <v>-9999</v>
      </c>
      <c r="AG452" s="120">
        <v>-9999</v>
      </c>
    </row>
    <row r="453" spans="1:33" x14ac:dyDescent="0.25">
      <c r="A453" s="120">
        <v>452</v>
      </c>
      <c r="B453" s="120" t="b">
        <v>0</v>
      </c>
      <c r="C453" s="120">
        <v>0</v>
      </c>
      <c r="D453" s="61">
        <v>1</v>
      </c>
      <c r="E453" s="120">
        <v>1</v>
      </c>
      <c r="F453" s="120" t="s">
        <v>179</v>
      </c>
      <c r="G453" s="55">
        <v>200</v>
      </c>
      <c r="H453" s="120">
        <v>812</v>
      </c>
      <c r="I453" s="57">
        <v>140</v>
      </c>
      <c r="J453" s="120">
        <v>140</v>
      </c>
      <c r="K453" s="120">
        <v>2</v>
      </c>
      <c r="L453" s="120">
        <v>50</v>
      </c>
      <c r="M453" s="120">
        <v>15</v>
      </c>
      <c r="N453" s="120">
        <v>40</v>
      </c>
      <c r="O453" s="120">
        <v>2</v>
      </c>
      <c r="P453" s="120">
        <v>20</v>
      </c>
      <c r="Q453" s="120">
        <v>220</v>
      </c>
      <c r="R453" s="120">
        <v>174.39999389648401</v>
      </c>
      <c r="S453" s="148">
        <v>21.5</v>
      </c>
      <c r="T453" s="120">
        <v>65</v>
      </c>
      <c r="U453" s="120">
        <v>15</v>
      </c>
      <c r="V453" s="120">
        <v>-9999</v>
      </c>
      <c r="W453" s="120">
        <v>-9999</v>
      </c>
      <c r="X453" s="120">
        <v>-9999</v>
      </c>
      <c r="Y453" s="120">
        <v>-9999</v>
      </c>
      <c r="Z453" s="120">
        <v>-9999</v>
      </c>
      <c r="AA453" s="120">
        <v>68</v>
      </c>
      <c r="AB453" s="120">
        <v>14.5</v>
      </c>
      <c r="AC453" s="120">
        <v>452</v>
      </c>
      <c r="AD453" s="120">
        <v>1724</v>
      </c>
      <c r="AE453" s="120">
        <v>-9999</v>
      </c>
      <c r="AF453" s="120">
        <v>-9999</v>
      </c>
      <c r="AG453" s="120">
        <v>-9999</v>
      </c>
    </row>
    <row r="454" spans="1:33" x14ac:dyDescent="0.25">
      <c r="A454" s="120">
        <v>453</v>
      </c>
      <c r="B454" s="120" t="b">
        <v>0</v>
      </c>
      <c r="C454" s="120">
        <v>0</v>
      </c>
      <c r="D454" s="61">
        <v>1</v>
      </c>
      <c r="E454" s="120">
        <v>1</v>
      </c>
      <c r="F454" s="120" t="s">
        <v>179</v>
      </c>
      <c r="G454" s="55">
        <v>200</v>
      </c>
      <c r="H454" s="120">
        <v>812</v>
      </c>
      <c r="I454" s="57">
        <v>140</v>
      </c>
      <c r="J454" s="120">
        <v>140</v>
      </c>
      <c r="K454" s="120">
        <v>3</v>
      </c>
      <c r="L454" s="120">
        <v>40</v>
      </c>
      <c r="M454" s="120">
        <v>15</v>
      </c>
      <c r="N454" s="120">
        <v>40</v>
      </c>
      <c r="O454" s="120">
        <v>2</v>
      </c>
      <c r="P454" s="120">
        <v>16.666999816894499</v>
      </c>
      <c r="Q454" s="120">
        <v>220</v>
      </c>
      <c r="R454" s="120">
        <v>174.39999389648401</v>
      </c>
      <c r="S454" s="148">
        <v>21.5</v>
      </c>
      <c r="T454" s="120">
        <v>57</v>
      </c>
      <c r="U454" s="120">
        <v>15</v>
      </c>
      <c r="V454" s="120">
        <v>-9999</v>
      </c>
      <c r="W454" s="120">
        <v>-9999</v>
      </c>
      <c r="X454" s="120">
        <v>-9999</v>
      </c>
      <c r="Y454" s="120">
        <v>-9999</v>
      </c>
      <c r="Z454" s="120">
        <v>-9999</v>
      </c>
      <c r="AA454" s="120">
        <v>68</v>
      </c>
      <c r="AB454" s="120">
        <v>14.5</v>
      </c>
      <c r="AC454" s="120">
        <v>453</v>
      </c>
      <c r="AD454" s="120">
        <v>1725</v>
      </c>
      <c r="AE454" s="120">
        <v>-9999</v>
      </c>
      <c r="AF454" s="120">
        <v>-9999</v>
      </c>
      <c r="AG454" s="120">
        <v>-9999</v>
      </c>
    </row>
    <row r="455" spans="1:33" x14ac:dyDescent="0.25">
      <c r="A455" s="120">
        <v>454</v>
      </c>
      <c r="B455" s="120" t="b">
        <v>0</v>
      </c>
      <c r="C455" s="120">
        <v>0</v>
      </c>
      <c r="D455" s="61">
        <v>1</v>
      </c>
      <c r="E455" s="120">
        <v>1</v>
      </c>
      <c r="F455" s="120" t="s">
        <v>179</v>
      </c>
      <c r="G455" s="55">
        <v>200</v>
      </c>
      <c r="H455" s="120">
        <v>775</v>
      </c>
      <c r="I455" s="57">
        <v>140</v>
      </c>
      <c r="J455" s="120">
        <v>150</v>
      </c>
      <c r="K455" s="120">
        <v>4</v>
      </c>
      <c r="L455" s="120">
        <v>100</v>
      </c>
      <c r="M455" s="120">
        <v>15</v>
      </c>
      <c r="N455" s="120">
        <v>40</v>
      </c>
      <c r="O455" s="120">
        <v>2</v>
      </c>
      <c r="P455" s="120">
        <v>-9999</v>
      </c>
      <c r="Q455" s="120">
        <v>210</v>
      </c>
      <c r="R455" s="120">
        <v>166.5</v>
      </c>
      <c r="S455" s="148">
        <v>21.5</v>
      </c>
      <c r="T455" s="120">
        <v>-9999</v>
      </c>
      <c r="U455" s="120">
        <v>15</v>
      </c>
      <c r="V455" s="120">
        <v>-9999</v>
      </c>
      <c r="W455" s="120">
        <v>-9999</v>
      </c>
      <c r="X455" s="120">
        <v>-9999</v>
      </c>
      <c r="Y455" s="120">
        <v>-9999</v>
      </c>
      <c r="Z455" s="120">
        <v>-9999</v>
      </c>
      <c r="AA455" s="120">
        <v>68</v>
      </c>
      <c r="AB455" s="120">
        <v>14.5</v>
      </c>
      <c r="AC455" s="120">
        <v>454</v>
      </c>
      <c r="AD455" s="120">
        <v>1726</v>
      </c>
      <c r="AE455" s="120">
        <v>-9999</v>
      </c>
      <c r="AF455" s="120">
        <v>-9999</v>
      </c>
      <c r="AG455" s="120">
        <v>-9999</v>
      </c>
    </row>
    <row r="456" spans="1:33" x14ac:dyDescent="0.25">
      <c r="A456" s="120">
        <v>455</v>
      </c>
      <c r="B456" s="120" t="b">
        <v>0</v>
      </c>
      <c r="C456" s="120">
        <v>0</v>
      </c>
      <c r="D456" s="61">
        <v>1</v>
      </c>
      <c r="E456" s="120">
        <v>1</v>
      </c>
      <c r="F456" s="120" t="s">
        <v>179</v>
      </c>
      <c r="G456" s="55">
        <v>200</v>
      </c>
      <c r="H456" s="120">
        <v>775</v>
      </c>
      <c r="I456" s="57">
        <v>140</v>
      </c>
      <c r="J456" s="120">
        <v>150</v>
      </c>
      <c r="K456" s="120">
        <v>11</v>
      </c>
      <c r="L456" s="120">
        <v>60</v>
      </c>
      <c r="M456" s="120">
        <v>15</v>
      </c>
      <c r="N456" s="120">
        <v>40</v>
      </c>
      <c r="O456" s="120">
        <v>2</v>
      </c>
      <c r="P456" s="120">
        <v>25</v>
      </c>
      <c r="Q456" s="120">
        <v>210</v>
      </c>
      <c r="R456" s="120">
        <v>166.5</v>
      </c>
      <c r="S456" s="148">
        <v>21.5</v>
      </c>
      <c r="T456" s="120">
        <v>70</v>
      </c>
      <c r="U456" s="120">
        <v>15</v>
      </c>
      <c r="V456" s="120">
        <v>-9999</v>
      </c>
      <c r="W456" s="120">
        <v>-9999</v>
      </c>
      <c r="X456" s="120">
        <v>-9999</v>
      </c>
      <c r="Y456" s="120">
        <v>-9999</v>
      </c>
      <c r="Z456" s="120">
        <v>-9999</v>
      </c>
      <c r="AA456" s="120">
        <v>68</v>
      </c>
      <c r="AB456" s="120">
        <v>14.5</v>
      </c>
      <c r="AC456" s="120">
        <v>455</v>
      </c>
      <c r="AD456" s="120">
        <v>1727</v>
      </c>
      <c r="AE456" s="120">
        <v>-9999</v>
      </c>
      <c r="AF456" s="120">
        <v>-9999</v>
      </c>
      <c r="AG456" s="120">
        <v>-9999</v>
      </c>
    </row>
    <row r="457" spans="1:33" x14ac:dyDescent="0.25">
      <c r="A457" s="120">
        <v>456</v>
      </c>
      <c r="B457" s="120" t="b">
        <v>0</v>
      </c>
      <c r="C457" s="120">
        <v>0</v>
      </c>
      <c r="D457" s="61">
        <v>1</v>
      </c>
      <c r="E457" s="120">
        <v>1</v>
      </c>
      <c r="F457" s="120" t="s">
        <v>179</v>
      </c>
      <c r="G457" s="55">
        <v>200</v>
      </c>
      <c r="H457" s="120">
        <v>763</v>
      </c>
      <c r="I457" s="57">
        <v>150</v>
      </c>
      <c r="J457" s="120">
        <v>160</v>
      </c>
      <c r="K457" s="120">
        <v>1</v>
      </c>
      <c r="L457" s="120">
        <v>50</v>
      </c>
      <c r="M457" s="120">
        <v>15</v>
      </c>
      <c r="N457" s="120">
        <v>40</v>
      </c>
      <c r="O457" s="120">
        <v>2</v>
      </c>
      <c r="P457" s="120">
        <v>5</v>
      </c>
      <c r="Q457" s="120">
        <v>210</v>
      </c>
      <c r="R457" s="120">
        <v>166.5</v>
      </c>
      <c r="S457" s="148">
        <v>21.799999237060501</v>
      </c>
      <c r="T457" s="120">
        <v>65</v>
      </c>
      <c r="U457" s="120">
        <v>15</v>
      </c>
      <c r="V457" s="120">
        <v>-9999</v>
      </c>
      <c r="W457" s="120">
        <v>-9999</v>
      </c>
      <c r="X457" s="120">
        <v>-9999</v>
      </c>
      <c r="Y457" s="120">
        <v>-9999</v>
      </c>
      <c r="Z457" s="120">
        <v>-9999</v>
      </c>
      <c r="AA457" s="120">
        <v>68</v>
      </c>
      <c r="AB457" s="120">
        <v>14.5</v>
      </c>
      <c r="AC457" s="120">
        <v>456</v>
      </c>
      <c r="AD457" s="120">
        <v>1728</v>
      </c>
      <c r="AE457" s="120">
        <v>-9999</v>
      </c>
      <c r="AF457" s="120">
        <v>-9999</v>
      </c>
      <c r="AG457" s="120">
        <v>-9999</v>
      </c>
    </row>
    <row r="458" spans="1:33" x14ac:dyDescent="0.25">
      <c r="A458" s="120">
        <v>457</v>
      </c>
      <c r="B458" s="120" t="b">
        <v>0</v>
      </c>
      <c r="C458" s="120">
        <v>0</v>
      </c>
      <c r="D458" s="61">
        <v>1</v>
      </c>
      <c r="E458" s="120">
        <v>1</v>
      </c>
      <c r="F458" s="120" t="s">
        <v>179</v>
      </c>
      <c r="G458" s="55">
        <v>200</v>
      </c>
      <c r="H458" s="120">
        <v>799</v>
      </c>
      <c r="I458" s="57">
        <v>150</v>
      </c>
      <c r="J458" s="120">
        <v>150</v>
      </c>
      <c r="K458" s="120">
        <v>2</v>
      </c>
      <c r="L458" s="120">
        <v>50</v>
      </c>
      <c r="M458" s="120">
        <v>15</v>
      </c>
      <c r="N458" s="120">
        <v>40</v>
      </c>
      <c r="O458" s="120">
        <v>2</v>
      </c>
      <c r="P458" s="120">
        <v>20</v>
      </c>
      <c r="Q458" s="120">
        <v>220</v>
      </c>
      <c r="R458" s="120">
        <v>174.39999389648401</v>
      </c>
      <c r="S458" s="148">
        <v>21.799999237060501</v>
      </c>
      <c r="T458" s="120">
        <v>65</v>
      </c>
      <c r="U458" s="120">
        <v>15</v>
      </c>
      <c r="V458" s="120">
        <v>-9999</v>
      </c>
      <c r="W458" s="120">
        <v>-9999</v>
      </c>
      <c r="X458" s="120">
        <v>-9999</v>
      </c>
      <c r="Y458" s="120">
        <v>-9999</v>
      </c>
      <c r="Z458" s="120">
        <v>-9999</v>
      </c>
      <c r="AA458" s="120">
        <v>68</v>
      </c>
      <c r="AB458" s="120">
        <v>14.5</v>
      </c>
      <c r="AC458" s="120">
        <v>457</v>
      </c>
      <c r="AD458" s="120">
        <v>1729</v>
      </c>
      <c r="AE458" s="120">
        <v>-9999</v>
      </c>
      <c r="AF458" s="120">
        <v>-9999</v>
      </c>
      <c r="AG458" s="120">
        <v>-9999</v>
      </c>
    </row>
    <row r="459" spans="1:33" x14ac:dyDescent="0.25">
      <c r="A459" s="120">
        <v>458</v>
      </c>
      <c r="B459" s="120" t="b">
        <v>0</v>
      </c>
      <c r="C459" s="120">
        <v>0</v>
      </c>
      <c r="D459" s="61">
        <v>1</v>
      </c>
      <c r="E459" s="120">
        <v>1</v>
      </c>
      <c r="F459" s="120" t="s">
        <v>179</v>
      </c>
      <c r="G459" s="55">
        <v>200</v>
      </c>
      <c r="H459" s="120">
        <v>799</v>
      </c>
      <c r="I459" s="57">
        <v>150</v>
      </c>
      <c r="J459" s="120">
        <v>150</v>
      </c>
      <c r="K459" s="120">
        <v>3</v>
      </c>
      <c r="L459" s="120">
        <v>40</v>
      </c>
      <c r="M459" s="120">
        <v>15</v>
      </c>
      <c r="N459" s="120">
        <v>40</v>
      </c>
      <c r="O459" s="120">
        <v>2</v>
      </c>
      <c r="P459" s="120">
        <v>16.666999816894499</v>
      </c>
      <c r="Q459" s="120">
        <v>220</v>
      </c>
      <c r="R459" s="120">
        <v>174.39999389648401</v>
      </c>
      <c r="S459" s="148">
        <v>21.799999237060501</v>
      </c>
      <c r="T459" s="120">
        <v>57</v>
      </c>
      <c r="U459" s="120">
        <v>15</v>
      </c>
      <c r="V459" s="120">
        <v>-9999</v>
      </c>
      <c r="W459" s="120">
        <v>-9999</v>
      </c>
      <c r="X459" s="120">
        <v>-9999</v>
      </c>
      <c r="Y459" s="120">
        <v>-9999</v>
      </c>
      <c r="Z459" s="120">
        <v>-9999</v>
      </c>
      <c r="AA459" s="120">
        <v>68</v>
      </c>
      <c r="AB459" s="120">
        <v>14.5</v>
      </c>
      <c r="AC459" s="120">
        <v>458</v>
      </c>
      <c r="AD459" s="120">
        <v>1730</v>
      </c>
      <c r="AE459" s="120">
        <v>-9999</v>
      </c>
      <c r="AF459" s="120">
        <v>-9999</v>
      </c>
      <c r="AG459" s="120">
        <v>-9999</v>
      </c>
    </row>
    <row r="460" spans="1:33" x14ac:dyDescent="0.25">
      <c r="A460" s="120">
        <v>459</v>
      </c>
      <c r="B460" s="120" t="b">
        <v>0</v>
      </c>
      <c r="C460" s="120">
        <v>0</v>
      </c>
      <c r="D460" s="61">
        <v>1</v>
      </c>
      <c r="E460" s="120">
        <v>1</v>
      </c>
      <c r="F460" s="120" t="s">
        <v>179</v>
      </c>
      <c r="G460" s="55">
        <v>200</v>
      </c>
      <c r="H460" s="120">
        <v>763</v>
      </c>
      <c r="I460" s="57">
        <v>150</v>
      </c>
      <c r="J460" s="120">
        <v>160</v>
      </c>
      <c r="K460" s="120">
        <v>4</v>
      </c>
      <c r="L460" s="120">
        <v>100</v>
      </c>
      <c r="M460" s="120">
        <v>15</v>
      </c>
      <c r="N460" s="120">
        <v>40</v>
      </c>
      <c r="O460" s="120">
        <v>2</v>
      </c>
      <c r="P460" s="120">
        <v>-9999</v>
      </c>
      <c r="Q460" s="120">
        <v>210</v>
      </c>
      <c r="R460" s="120">
        <v>166.5</v>
      </c>
      <c r="S460" s="148">
        <v>21.799999237060501</v>
      </c>
      <c r="T460" s="120">
        <v>-9999</v>
      </c>
      <c r="U460" s="120">
        <v>15</v>
      </c>
      <c r="V460" s="120">
        <v>-9999</v>
      </c>
      <c r="W460" s="120">
        <v>-9999</v>
      </c>
      <c r="X460" s="120">
        <v>-9999</v>
      </c>
      <c r="Y460" s="120">
        <v>-9999</v>
      </c>
      <c r="Z460" s="120">
        <v>-9999</v>
      </c>
      <c r="AA460" s="120">
        <v>68</v>
      </c>
      <c r="AB460" s="120">
        <v>14.5</v>
      </c>
      <c r="AC460" s="120">
        <v>459</v>
      </c>
      <c r="AD460" s="120">
        <v>1731</v>
      </c>
      <c r="AE460" s="120">
        <v>-9999</v>
      </c>
      <c r="AF460" s="120">
        <v>-9999</v>
      </c>
      <c r="AG460" s="120">
        <v>-9999</v>
      </c>
    </row>
    <row r="461" spans="1:33" x14ac:dyDescent="0.25">
      <c r="A461" s="120">
        <v>460</v>
      </c>
      <c r="B461" s="120" t="b">
        <v>0</v>
      </c>
      <c r="C461" s="120">
        <v>0</v>
      </c>
      <c r="D461" s="61">
        <v>1</v>
      </c>
      <c r="E461" s="120">
        <v>1</v>
      </c>
      <c r="F461" s="120" t="s">
        <v>179</v>
      </c>
      <c r="G461" s="55">
        <v>200</v>
      </c>
      <c r="H461" s="120">
        <v>763</v>
      </c>
      <c r="I461" s="57">
        <v>150</v>
      </c>
      <c r="J461" s="120">
        <v>160</v>
      </c>
      <c r="K461" s="120">
        <v>11</v>
      </c>
      <c r="L461" s="120">
        <v>60</v>
      </c>
      <c r="M461" s="120">
        <v>15</v>
      </c>
      <c r="N461" s="120">
        <v>40</v>
      </c>
      <c r="O461" s="120">
        <v>2</v>
      </c>
      <c r="P461" s="120">
        <v>25</v>
      </c>
      <c r="Q461" s="120">
        <v>210</v>
      </c>
      <c r="R461" s="120">
        <v>166.5</v>
      </c>
      <c r="S461" s="148">
        <v>21.799999237060501</v>
      </c>
      <c r="T461" s="120">
        <v>70</v>
      </c>
      <c r="U461" s="120">
        <v>15</v>
      </c>
      <c r="V461" s="120">
        <v>-9999</v>
      </c>
      <c r="W461" s="120">
        <v>-9999</v>
      </c>
      <c r="X461" s="120">
        <v>-9999</v>
      </c>
      <c r="Y461" s="120">
        <v>-9999</v>
      </c>
      <c r="Z461" s="120">
        <v>-9999</v>
      </c>
      <c r="AA461" s="120">
        <v>68</v>
      </c>
      <c r="AB461" s="120">
        <v>14.5</v>
      </c>
      <c r="AC461" s="120">
        <v>460</v>
      </c>
      <c r="AD461" s="120">
        <v>1732</v>
      </c>
      <c r="AE461" s="120">
        <v>-9999</v>
      </c>
      <c r="AF461" s="120">
        <v>-9999</v>
      </c>
      <c r="AG461" s="120">
        <v>-9999</v>
      </c>
    </row>
    <row r="462" spans="1:33" x14ac:dyDescent="0.25">
      <c r="A462" s="120">
        <v>461</v>
      </c>
      <c r="B462" s="120" t="b">
        <v>0</v>
      </c>
      <c r="C462" s="120">
        <v>0</v>
      </c>
      <c r="D462" s="61">
        <v>1</v>
      </c>
      <c r="E462" s="120">
        <v>1</v>
      </c>
      <c r="F462" s="120" t="s">
        <v>179</v>
      </c>
      <c r="G462" s="55">
        <v>200</v>
      </c>
      <c r="H462" s="120">
        <v>705</v>
      </c>
      <c r="I462" s="57">
        <v>165</v>
      </c>
      <c r="J462" s="120">
        <v>175</v>
      </c>
      <c r="K462" s="120">
        <v>1</v>
      </c>
      <c r="L462" s="120">
        <v>50</v>
      </c>
      <c r="M462" s="120">
        <v>15</v>
      </c>
      <c r="N462" s="120">
        <v>40</v>
      </c>
      <c r="O462" s="120">
        <v>2</v>
      </c>
      <c r="P462" s="120">
        <v>5</v>
      </c>
      <c r="Q462" s="120">
        <v>210</v>
      </c>
      <c r="R462" s="120">
        <v>166.5</v>
      </c>
      <c r="S462" s="148">
        <v>23.600000381469702</v>
      </c>
      <c r="T462" s="120">
        <v>65</v>
      </c>
      <c r="U462" s="120">
        <v>14</v>
      </c>
      <c r="V462" s="120">
        <v>-9999</v>
      </c>
      <c r="W462" s="120">
        <v>-9999</v>
      </c>
      <c r="X462" s="120">
        <v>-9999</v>
      </c>
      <c r="Y462" s="120">
        <v>-9999</v>
      </c>
      <c r="Z462" s="120">
        <v>-9999</v>
      </c>
      <c r="AA462" s="120">
        <v>68</v>
      </c>
      <c r="AB462" s="120">
        <v>14.5</v>
      </c>
      <c r="AC462" s="120">
        <v>461</v>
      </c>
      <c r="AD462" s="120">
        <v>1733</v>
      </c>
      <c r="AE462" s="120">
        <v>-9999</v>
      </c>
      <c r="AF462" s="120">
        <v>-9999</v>
      </c>
      <c r="AG462" s="120">
        <v>-9999</v>
      </c>
    </row>
    <row r="463" spans="1:33" x14ac:dyDescent="0.25">
      <c r="A463" s="120">
        <v>462</v>
      </c>
      <c r="B463" s="120" t="b">
        <v>0</v>
      </c>
      <c r="C463" s="120">
        <v>0</v>
      </c>
      <c r="D463" s="61">
        <v>1</v>
      </c>
      <c r="E463" s="120">
        <v>1</v>
      </c>
      <c r="F463" s="120" t="s">
        <v>179</v>
      </c>
      <c r="G463" s="55">
        <v>200</v>
      </c>
      <c r="H463" s="120">
        <v>739</v>
      </c>
      <c r="I463" s="57">
        <v>165</v>
      </c>
      <c r="J463" s="120">
        <v>165</v>
      </c>
      <c r="K463" s="120">
        <v>2</v>
      </c>
      <c r="L463" s="120">
        <v>50</v>
      </c>
      <c r="M463" s="120">
        <v>15</v>
      </c>
      <c r="N463" s="120">
        <v>40</v>
      </c>
      <c r="O463" s="120">
        <v>2</v>
      </c>
      <c r="P463" s="120">
        <v>20</v>
      </c>
      <c r="Q463" s="120">
        <v>220</v>
      </c>
      <c r="R463" s="120">
        <v>174.39999389648401</v>
      </c>
      <c r="S463" s="148">
        <v>23.600000381469702</v>
      </c>
      <c r="T463" s="120">
        <v>65</v>
      </c>
      <c r="U463" s="120">
        <v>14</v>
      </c>
      <c r="V463" s="120">
        <v>-9999</v>
      </c>
      <c r="W463" s="120">
        <v>-9999</v>
      </c>
      <c r="X463" s="120">
        <v>-9999</v>
      </c>
      <c r="Y463" s="120">
        <v>-9999</v>
      </c>
      <c r="Z463" s="120">
        <v>-9999</v>
      </c>
      <c r="AA463" s="120">
        <v>68</v>
      </c>
      <c r="AB463" s="120">
        <v>14.5</v>
      </c>
      <c r="AC463" s="120">
        <v>462</v>
      </c>
      <c r="AD463" s="120">
        <v>1734</v>
      </c>
      <c r="AE463" s="120">
        <v>-9999</v>
      </c>
      <c r="AF463" s="120">
        <v>-9999</v>
      </c>
      <c r="AG463" s="120">
        <v>-9999</v>
      </c>
    </row>
    <row r="464" spans="1:33" x14ac:dyDescent="0.25">
      <c r="A464" s="120">
        <v>463</v>
      </c>
      <c r="B464" s="120" t="b">
        <v>0</v>
      </c>
      <c r="C464" s="120">
        <v>0</v>
      </c>
      <c r="D464" s="61">
        <v>1</v>
      </c>
      <c r="E464" s="120">
        <v>1</v>
      </c>
      <c r="F464" s="120" t="s">
        <v>179</v>
      </c>
      <c r="G464" s="55">
        <v>200</v>
      </c>
      <c r="H464" s="120">
        <v>739</v>
      </c>
      <c r="I464" s="57">
        <v>165</v>
      </c>
      <c r="J464" s="120">
        <v>165</v>
      </c>
      <c r="K464" s="120">
        <v>3</v>
      </c>
      <c r="L464" s="120">
        <v>40</v>
      </c>
      <c r="M464" s="120">
        <v>15</v>
      </c>
      <c r="N464" s="120">
        <v>40</v>
      </c>
      <c r="O464" s="120">
        <v>2</v>
      </c>
      <c r="P464" s="120">
        <v>16.666999816894499</v>
      </c>
      <c r="Q464" s="120">
        <v>220</v>
      </c>
      <c r="R464" s="120">
        <v>174.39999389648401</v>
      </c>
      <c r="S464" s="148">
        <v>23.600000381469702</v>
      </c>
      <c r="T464" s="120">
        <v>57</v>
      </c>
      <c r="U464" s="120">
        <v>14</v>
      </c>
      <c r="V464" s="120">
        <v>-9999</v>
      </c>
      <c r="W464" s="120">
        <v>-9999</v>
      </c>
      <c r="X464" s="120">
        <v>-9999</v>
      </c>
      <c r="Y464" s="120">
        <v>-9999</v>
      </c>
      <c r="Z464" s="120">
        <v>-9999</v>
      </c>
      <c r="AA464" s="120">
        <v>68</v>
      </c>
      <c r="AB464" s="120">
        <v>14.5</v>
      </c>
      <c r="AC464" s="120">
        <v>463</v>
      </c>
      <c r="AD464" s="120">
        <v>1735</v>
      </c>
      <c r="AE464" s="120">
        <v>-9999</v>
      </c>
      <c r="AF464" s="120">
        <v>-9999</v>
      </c>
      <c r="AG464" s="120">
        <v>-9999</v>
      </c>
    </row>
    <row r="465" spans="1:33" x14ac:dyDescent="0.25">
      <c r="A465" s="120">
        <v>464</v>
      </c>
      <c r="B465" s="120" t="b">
        <v>0</v>
      </c>
      <c r="C465" s="120">
        <v>0</v>
      </c>
      <c r="D465" s="61">
        <v>1</v>
      </c>
      <c r="E465" s="120">
        <v>1</v>
      </c>
      <c r="F465" s="120" t="s">
        <v>179</v>
      </c>
      <c r="G465" s="55">
        <v>200</v>
      </c>
      <c r="H465" s="120">
        <v>705</v>
      </c>
      <c r="I465" s="57">
        <v>165</v>
      </c>
      <c r="J465" s="120">
        <v>175</v>
      </c>
      <c r="K465" s="120">
        <v>4</v>
      </c>
      <c r="L465" s="120">
        <v>100</v>
      </c>
      <c r="M465" s="120">
        <v>15</v>
      </c>
      <c r="N465" s="120">
        <v>40</v>
      </c>
      <c r="O465" s="120">
        <v>2</v>
      </c>
      <c r="P465" s="120">
        <v>-9999</v>
      </c>
      <c r="Q465" s="120">
        <v>210</v>
      </c>
      <c r="R465" s="120">
        <v>166.5</v>
      </c>
      <c r="S465" s="148">
        <v>23.600000381469702</v>
      </c>
      <c r="T465" s="120">
        <v>-9999</v>
      </c>
      <c r="U465" s="120">
        <v>14</v>
      </c>
      <c r="V465" s="120">
        <v>-9999</v>
      </c>
      <c r="W465" s="120">
        <v>-9999</v>
      </c>
      <c r="X465" s="120">
        <v>-9999</v>
      </c>
      <c r="Y465" s="120">
        <v>-9999</v>
      </c>
      <c r="Z465" s="120">
        <v>-9999</v>
      </c>
      <c r="AA465" s="120">
        <v>68</v>
      </c>
      <c r="AB465" s="120">
        <v>14.5</v>
      </c>
      <c r="AC465" s="120">
        <v>464</v>
      </c>
      <c r="AD465" s="120">
        <v>1736</v>
      </c>
      <c r="AE465" s="120">
        <v>-9999</v>
      </c>
      <c r="AF465" s="120">
        <v>-9999</v>
      </c>
      <c r="AG465" s="120">
        <v>-9999</v>
      </c>
    </row>
    <row r="466" spans="1:33" x14ac:dyDescent="0.25">
      <c r="A466" s="120">
        <v>465</v>
      </c>
      <c r="B466" s="120" t="b">
        <v>0</v>
      </c>
      <c r="C466" s="120">
        <v>0</v>
      </c>
      <c r="D466" s="61">
        <v>1</v>
      </c>
      <c r="E466" s="120">
        <v>1</v>
      </c>
      <c r="F466" s="120" t="s">
        <v>179</v>
      </c>
      <c r="G466" s="55">
        <v>200</v>
      </c>
      <c r="H466" s="120">
        <v>705</v>
      </c>
      <c r="I466" s="57">
        <v>165</v>
      </c>
      <c r="J466" s="120">
        <v>175</v>
      </c>
      <c r="K466" s="120">
        <v>11</v>
      </c>
      <c r="L466" s="120">
        <v>60</v>
      </c>
      <c r="M466" s="120">
        <v>15</v>
      </c>
      <c r="N466" s="120">
        <v>40</v>
      </c>
      <c r="O466" s="120">
        <v>2</v>
      </c>
      <c r="P466" s="120">
        <v>25</v>
      </c>
      <c r="Q466" s="120">
        <v>210</v>
      </c>
      <c r="R466" s="120">
        <v>166.5</v>
      </c>
      <c r="S466" s="148">
        <v>23.600000381469702</v>
      </c>
      <c r="T466" s="120">
        <v>70</v>
      </c>
      <c r="U466" s="120">
        <v>14</v>
      </c>
      <c r="V466" s="120">
        <v>-9999</v>
      </c>
      <c r="W466" s="120">
        <v>-9999</v>
      </c>
      <c r="X466" s="120">
        <v>-9999</v>
      </c>
      <c r="Y466" s="120">
        <v>-9999</v>
      </c>
      <c r="Z466" s="120">
        <v>-9999</v>
      </c>
      <c r="AA466" s="120">
        <v>68</v>
      </c>
      <c r="AB466" s="120">
        <v>14.5</v>
      </c>
      <c r="AC466" s="120">
        <v>465</v>
      </c>
      <c r="AD466" s="120">
        <v>1737</v>
      </c>
      <c r="AE466" s="120">
        <v>-9999</v>
      </c>
      <c r="AF466" s="120">
        <v>-9999</v>
      </c>
      <c r="AG466" s="120">
        <v>-9999</v>
      </c>
    </row>
    <row r="467" spans="1:33" x14ac:dyDescent="0.25">
      <c r="A467" s="120">
        <v>466</v>
      </c>
      <c r="B467" s="120" t="b">
        <v>0</v>
      </c>
      <c r="C467" s="120">
        <v>0</v>
      </c>
      <c r="D467" s="61">
        <v>1</v>
      </c>
      <c r="E467" s="120">
        <v>1</v>
      </c>
      <c r="F467" s="120" t="s">
        <v>179</v>
      </c>
      <c r="G467" s="55">
        <v>200</v>
      </c>
      <c r="H467" s="120">
        <v>608</v>
      </c>
      <c r="I467" s="57">
        <v>200</v>
      </c>
      <c r="J467" s="120">
        <v>210</v>
      </c>
      <c r="K467" s="120">
        <v>1</v>
      </c>
      <c r="L467" s="120">
        <v>50</v>
      </c>
      <c r="M467" s="120">
        <v>15</v>
      </c>
      <c r="N467" s="120">
        <v>40</v>
      </c>
      <c r="O467" s="120">
        <v>2</v>
      </c>
      <c r="P467" s="120">
        <v>5</v>
      </c>
      <c r="Q467" s="120">
        <v>210</v>
      </c>
      <c r="R467" s="120">
        <v>166.5</v>
      </c>
      <c r="S467" s="148">
        <v>27.399999618530298</v>
      </c>
      <c r="T467" s="120">
        <v>65</v>
      </c>
      <c r="U467" s="120">
        <v>14</v>
      </c>
      <c r="V467" s="120">
        <v>-9999</v>
      </c>
      <c r="W467" s="120">
        <v>-9999</v>
      </c>
      <c r="X467" s="120">
        <v>-9999</v>
      </c>
      <c r="Y467" s="120">
        <v>-9999</v>
      </c>
      <c r="Z467" s="120">
        <v>-9999</v>
      </c>
      <c r="AA467" s="120">
        <v>68</v>
      </c>
      <c r="AB467" s="120">
        <v>14.5</v>
      </c>
      <c r="AC467" s="120">
        <v>466</v>
      </c>
      <c r="AD467" s="120">
        <v>1738</v>
      </c>
      <c r="AE467" s="120">
        <v>-9999</v>
      </c>
      <c r="AF467" s="120">
        <v>-9999</v>
      </c>
      <c r="AG467" s="120">
        <v>-9999</v>
      </c>
    </row>
    <row r="468" spans="1:33" x14ac:dyDescent="0.25">
      <c r="A468" s="120">
        <v>467</v>
      </c>
      <c r="B468" s="120" t="b">
        <v>0</v>
      </c>
      <c r="C468" s="120">
        <v>0</v>
      </c>
      <c r="D468" s="61">
        <v>1</v>
      </c>
      <c r="E468" s="120">
        <v>1</v>
      </c>
      <c r="F468" s="120" t="s">
        <v>179</v>
      </c>
      <c r="G468" s="55">
        <v>200</v>
      </c>
      <c r="H468" s="120">
        <v>637</v>
      </c>
      <c r="I468" s="57">
        <v>200</v>
      </c>
      <c r="J468" s="120">
        <v>200</v>
      </c>
      <c r="K468" s="120">
        <v>2</v>
      </c>
      <c r="L468" s="120">
        <v>50</v>
      </c>
      <c r="M468" s="120">
        <v>15</v>
      </c>
      <c r="N468" s="120">
        <v>40</v>
      </c>
      <c r="O468" s="120">
        <v>2</v>
      </c>
      <c r="P468" s="120">
        <v>20</v>
      </c>
      <c r="Q468" s="120">
        <v>220</v>
      </c>
      <c r="R468" s="120">
        <v>174.39999389648401</v>
      </c>
      <c r="S468" s="148">
        <v>27.399999618530298</v>
      </c>
      <c r="T468" s="120">
        <v>65</v>
      </c>
      <c r="U468" s="120">
        <v>14</v>
      </c>
      <c r="V468" s="120">
        <v>-9999</v>
      </c>
      <c r="W468" s="120">
        <v>-9999</v>
      </c>
      <c r="X468" s="120">
        <v>-9999</v>
      </c>
      <c r="Y468" s="120">
        <v>-9999</v>
      </c>
      <c r="Z468" s="120">
        <v>-9999</v>
      </c>
      <c r="AA468" s="120">
        <v>68</v>
      </c>
      <c r="AB468" s="120">
        <v>14.5</v>
      </c>
      <c r="AC468" s="120">
        <v>467</v>
      </c>
      <c r="AD468" s="120">
        <v>1739</v>
      </c>
      <c r="AE468" s="120">
        <v>-9999</v>
      </c>
      <c r="AF468" s="120">
        <v>-9999</v>
      </c>
      <c r="AG468" s="120">
        <v>-9999</v>
      </c>
    </row>
    <row r="469" spans="1:33" x14ac:dyDescent="0.25">
      <c r="A469" s="120">
        <v>468</v>
      </c>
      <c r="B469" s="120" t="b">
        <v>0</v>
      </c>
      <c r="C469" s="120">
        <v>0</v>
      </c>
      <c r="D469" s="61">
        <v>1</v>
      </c>
      <c r="E469" s="120">
        <v>1</v>
      </c>
      <c r="F469" s="120" t="s">
        <v>179</v>
      </c>
      <c r="G469" s="55">
        <v>200</v>
      </c>
      <c r="H469" s="120">
        <v>637</v>
      </c>
      <c r="I469" s="57">
        <v>200</v>
      </c>
      <c r="J469" s="120">
        <v>200</v>
      </c>
      <c r="K469" s="120">
        <v>3</v>
      </c>
      <c r="L469" s="120">
        <v>40</v>
      </c>
      <c r="M469" s="120">
        <v>15</v>
      </c>
      <c r="N469" s="120">
        <v>40</v>
      </c>
      <c r="O469" s="120">
        <v>2</v>
      </c>
      <c r="P469" s="120">
        <v>16.666999816894499</v>
      </c>
      <c r="Q469" s="120">
        <v>220</v>
      </c>
      <c r="R469" s="120">
        <v>174.39999389648401</v>
      </c>
      <c r="S469" s="148">
        <v>27.399999618530298</v>
      </c>
      <c r="T469" s="120">
        <v>57</v>
      </c>
      <c r="U469" s="120">
        <v>14</v>
      </c>
      <c r="V469" s="120">
        <v>-9999</v>
      </c>
      <c r="W469" s="120">
        <v>-9999</v>
      </c>
      <c r="X469" s="120">
        <v>-9999</v>
      </c>
      <c r="Y469" s="120">
        <v>-9999</v>
      </c>
      <c r="Z469" s="120">
        <v>-9999</v>
      </c>
      <c r="AA469" s="120">
        <v>68</v>
      </c>
      <c r="AB469" s="120">
        <v>14.5</v>
      </c>
      <c r="AC469" s="120">
        <v>468</v>
      </c>
      <c r="AD469" s="120">
        <v>1740</v>
      </c>
      <c r="AE469" s="120">
        <v>-9999</v>
      </c>
      <c r="AF469" s="120">
        <v>-9999</v>
      </c>
      <c r="AG469" s="120">
        <v>-9999</v>
      </c>
    </row>
    <row r="470" spans="1:33" x14ac:dyDescent="0.25">
      <c r="A470" s="120">
        <v>469</v>
      </c>
      <c r="B470" s="120" t="b">
        <v>0</v>
      </c>
      <c r="C470" s="120">
        <v>0</v>
      </c>
      <c r="D470" s="61">
        <v>1</v>
      </c>
      <c r="E470" s="120">
        <v>1</v>
      </c>
      <c r="F470" s="120" t="s">
        <v>179</v>
      </c>
      <c r="G470" s="55">
        <v>200</v>
      </c>
      <c r="H470" s="120">
        <v>608</v>
      </c>
      <c r="I470" s="57">
        <v>200</v>
      </c>
      <c r="J470" s="120">
        <v>210</v>
      </c>
      <c r="K470" s="120">
        <v>4</v>
      </c>
      <c r="L470" s="120">
        <v>100</v>
      </c>
      <c r="M470" s="120">
        <v>15</v>
      </c>
      <c r="N470" s="120">
        <v>40</v>
      </c>
      <c r="O470" s="120">
        <v>2</v>
      </c>
      <c r="P470" s="120">
        <v>-9999</v>
      </c>
      <c r="Q470" s="120">
        <v>210</v>
      </c>
      <c r="R470" s="120">
        <v>166.5</v>
      </c>
      <c r="S470" s="148">
        <v>27.399999618530298</v>
      </c>
      <c r="T470" s="120">
        <v>-9999</v>
      </c>
      <c r="U470" s="120">
        <v>14</v>
      </c>
      <c r="V470" s="120">
        <v>-9999</v>
      </c>
      <c r="W470" s="120">
        <v>-9999</v>
      </c>
      <c r="X470" s="120">
        <v>-9999</v>
      </c>
      <c r="Y470" s="120">
        <v>-9999</v>
      </c>
      <c r="Z470" s="120">
        <v>-9999</v>
      </c>
      <c r="AA470" s="120">
        <v>68</v>
      </c>
      <c r="AB470" s="120">
        <v>14.5</v>
      </c>
      <c r="AC470" s="120">
        <v>469</v>
      </c>
      <c r="AD470" s="120">
        <v>1741</v>
      </c>
      <c r="AE470" s="120">
        <v>-9999</v>
      </c>
      <c r="AF470" s="120">
        <v>-9999</v>
      </c>
      <c r="AG470" s="120">
        <v>-9999</v>
      </c>
    </row>
    <row r="471" spans="1:33" x14ac:dyDescent="0.25">
      <c r="A471" s="120">
        <v>470</v>
      </c>
      <c r="B471" s="120" t="b">
        <v>0</v>
      </c>
      <c r="C471" s="120">
        <v>0</v>
      </c>
      <c r="D471" s="61">
        <v>1</v>
      </c>
      <c r="E471" s="120">
        <v>1</v>
      </c>
      <c r="F471" s="120" t="s">
        <v>179</v>
      </c>
      <c r="G471" s="55">
        <v>200</v>
      </c>
      <c r="H471" s="120">
        <v>608</v>
      </c>
      <c r="I471" s="57">
        <v>200</v>
      </c>
      <c r="J471" s="120">
        <v>210</v>
      </c>
      <c r="K471" s="120">
        <v>11</v>
      </c>
      <c r="L471" s="120">
        <v>60</v>
      </c>
      <c r="M471" s="120">
        <v>15</v>
      </c>
      <c r="N471" s="120">
        <v>40</v>
      </c>
      <c r="O471" s="120">
        <v>2</v>
      </c>
      <c r="P471" s="120">
        <v>25</v>
      </c>
      <c r="Q471" s="120">
        <v>210</v>
      </c>
      <c r="R471" s="120">
        <v>166.5</v>
      </c>
      <c r="S471" s="148">
        <v>27.399999618530298</v>
      </c>
      <c r="T471" s="120">
        <v>70</v>
      </c>
      <c r="U471" s="120">
        <v>14</v>
      </c>
      <c r="V471" s="120">
        <v>-9999</v>
      </c>
      <c r="W471" s="120">
        <v>-9999</v>
      </c>
      <c r="X471" s="120">
        <v>-9999</v>
      </c>
      <c r="Y471" s="120">
        <v>-9999</v>
      </c>
      <c r="Z471" s="120">
        <v>-9999</v>
      </c>
      <c r="AA471" s="120">
        <v>68</v>
      </c>
      <c r="AB471" s="120">
        <v>14.5</v>
      </c>
      <c r="AC471" s="120">
        <v>470</v>
      </c>
      <c r="AD471" s="120">
        <v>1742</v>
      </c>
      <c r="AE471" s="120">
        <v>-9999</v>
      </c>
      <c r="AF471" s="120">
        <v>-9999</v>
      </c>
      <c r="AG471" s="120">
        <v>-9999</v>
      </c>
    </row>
    <row r="472" spans="1:33" x14ac:dyDescent="0.25">
      <c r="A472" s="120">
        <v>471</v>
      </c>
      <c r="B472" s="120" t="b">
        <v>0</v>
      </c>
      <c r="C472" s="120">
        <v>0</v>
      </c>
      <c r="D472" s="61">
        <v>1</v>
      </c>
      <c r="E472" s="120">
        <v>1</v>
      </c>
      <c r="F472" s="120" t="s">
        <v>180</v>
      </c>
      <c r="G472" s="55">
        <v>250</v>
      </c>
      <c r="H472" s="120">
        <v>1204</v>
      </c>
      <c r="I472" s="57">
        <v>100</v>
      </c>
      <c r="J472" s="120">
        <v>110</v>
      </c>
      <c r="K472" s="120">
        <v>1</v>
      </c>
      <c r="L472" s="120">
        <v>50</v>
      </c>
      <c r="M472" s="120">
        <v>15</v>
      </c>
      <c r="N472" s="120">
        <v>40</v>
      </c>
      <c r="O472" s="120">
        <v>2</v>
      </c>
      <c r="P472" s="120">
        <v>5</v>
      </c>
      <c r="Q472" s="120">
        <v>262.5</v>
      </c>
      <c r="R472" s="120">
        <v>209.19999694824199</v>
      </c>
      <c r="S472" s="148">
        <v>17.399999618530298</v>
      </c>
      <c r="T472" s="120">
        <v>65</v>
      </c>
      <c r="U472" s="120">
        <v>15</v>
      </c>
      <c r="V472" s="120">
        <v>-9999</v>
      </c>
      <c r="W472" s="120">
        <v>-9999</v>
      </c>
      <c r="X472" s="120">
        <v>-9999</v>
      </c>
      <c r="Y472" s="120">
        <v>-9999</v>
      </c>
      <c r="Z472" s="120">
        <v>-9999</v>
      </c>
      <c r="AA472" s="120">
        <v>68</v>
      </c>
      <c r="AB472" s="120">
        <v>14.5</v>
      </c>
      <c r="AC472" s="120">
        <v>471</v>
      </c>
      <c r="AD472" s="120">
        <v>1743</v>
      </c>
      <c r="AE472" s="120">
        <v>-9999</v>
      </c>
      <c r="AF472" s="120">
        <v>-9999</v>
      </c>
      <c r="AG472" s="120">
        <v>-9999</v>
      </c>
    </row>
    <row r="473" spans="1:33" x14ac:dyDescent="0.25">
      <c r="A473" s="120">
        <v>472</v>
      </c>
      <c r="B473" s="120" t="b">
        <v>0</v>
      </c>
      <c r="C473" s="120">
        <v>0</v>
      </c>
      <c r="D473" s="61">
        <v>1</v>
      </c>
      <c r="E473" s="120">
        <v>1</v>
      </c>
      <c r="F473" s="120" t="s">
        <v>180</v>
      </c>
      <c r="G473" s="55">
        <v>250</v>
      </c>
      <c r="H473" s="120">
        <v>1261</v>
      </c>
      <c r="I473" s="57">
        <v>100</v>
      </c>
      <c r="J473" s="120">
        <v>100</v>
      </c>
      <c r="K473" s="120">
        <v>2</v>
      </c>
      <c r="L473" s="120">
        <v>50</v>
      </c>
      <c r="M473" s="120">
        <v>15</v>
      </c>
      <c r="N473" s="120">
        <v>40</v>
      </c>
      <c r="O473" s="120">
        <v>2</v>
      </c>
      <c r="P473" s="120">
        <v>20</v>
      </c>
      <c r="Q473" s="120">
        <v>275</v>
      </c>
      <c r="R473" s="120">
        <v>219.19999694824199</v>
      </c>
      <c r="S473" s="148">
        <v>17.399999618530298</v>
      </c>
      <c r="T473" s="120">
        <v>65</v>
      </c>
      <c r="U473" s="120">
        <v>15</v>
      </c>
      <c r="V473" s="120">
        <v>-9999</v>
      </c>
      <c r="W473" s="120">
        <v>-9999</v>
      </c>
      <c r="X473" s="120">
        <v>-9999</v>
      </c>
      <c r="Y473" s="120">
        <v>-9999</v>
      </c>
      <c r="Z473" s="120">
        <v>-9999</v>
      </c>
      <c r="AA473" s="120">
        <v>68</v>
      </c>
      <c r="AB473" s="120">
        <v>14.5</v>
      </c>
      <c r="AC473" s="120">
        <v>472</v>
      </c>
      <c r="AD473" s="120">
        <v>1744</v>
      </c>
      <c r="AE473" s="120">
        <v>-9999</v>
      </c>
      <c r="AF473" s="120">
        <v>-9999</v>
      </c>
      <c r="AG473" s="120">
        <v>-9999</v>
      </c>
    </row>
    <row r="474" spans="1:33" x14ac:dyDescent="0.25">
      <c r="A474" s="120">
        <v>473</v>
      </c>
      <c r="B474" s="120" t="b">
        <v>0</v>
      </c>
      <c r="C474" s="120">
        <v>0</v>
      </c>
      <c r="D474" s="61">
        <v>1</v>
      </c>
      <c r="E474" s="120">
        <v>1</v>
      </c>
      <c r="F474" s="120" t="s">
        <v>180</v>
      </c>
      <c r="G474" s="55">
        <v>250</v>
      </c>
      <c r="H474" s="120">
        <v>1261</v>
      </c>
      <c r="I474" s="57">
        <v>100</v>
      </c>
      <c r="J474" s="120">
        <v>100</v>
      </c>
      <c r="K474" s="120">
        <v>3</v>
      </c>
      <c r="L474" s="120">
        <v>40</v>
      </c>
      <c r="M474" s="120">
        <v>15</v>
      </c>
      <c r="N474" s="120">
        <v>40</v>
      </c>
      <c r="O474" s="120">
        <v>2</v>
      </c>
      <c r="P474" s="120">
        <v>16.666999816894499</v>
      </c>
      <c r="Q474" s="120">
        <v>275</v>
      </c>
      <c r="R474" s="120">
        <v>219.19999694824199</v>
      </c>
      <c r="S474" s="148">
        <v>17.399999618530298</v>
      </c>
      <c r="T474" s="120">
        <v>57</v>
      </c>
      <c r="U474" s="120">
        <v>15</v>
      </c>
      <c r="V474" s="120">
        <v>-9999</v>
      </c>
      <c r="W474" s="120">
        <v>-9999</v>
      </c>
      <c r="X474" s="120">
        <v>-9999</v>
      </c>
      <c r="Y474" s="120">
        <v>-9999</v>
      </c>
      <c r="Z474" s="120">
        <v>-9999</v>
      </c>
      <c r="AA474" s="120">
        <v>68</v>
      </c>
      <c r="AB474" s="120">
        <v>14.5</v>
      </c>
      <c r="AC474" s="120">
        <v>473</v>
      </c>
      <c r="AD474" s="120">
        <v>1745</v>
      </c>
      <c r="AE474" s="120">
        <v>-9999</v>
      </c>
      <c r="AF474" s="120">
        <v>-9999</v>
      </c>
      <c r="AG474" s="120">
        <v>-9999</v>
      </c>
    </row>
    <row r="475" spans="1:33" x14ac:dyDescent="0.25">
      <c r="A475" s="120">
        <v>474</v>
      </c>
      <c r="B475" s="120" t="b">
        <v>0</v>
      </c>
      <c r="C475" s="120">
        <v>0</v>
      </c>
      <c r="D475" s="61">
        <v>1</v>
      </c>
      <c r="E475" s="120">
        <v>1</v>
      </c>
      <c r="F475" s="120" t="s">
        <v>180</v>
      </c>
      <c r="G475" s="55">
        <v>250</v>
      </c>
      <c r="H475" s="120">
        <v>1204</v>
      </c>
      <c r="I475" s="57">
        <v>100</v>
      </c>
      <c r="J475" s="120">
        <v>110</v>
      </c>
      <c r="K475" s="120">
        <v>4</v>
      </c>
      <c r="L475" s="120">
        <v>100</v>
      </c>
      <c r="M475" s="120">
        <v>15</v>
      </c>
      <c r="N475" s="120">
        <v>40</v>
      </c>
      <c r="O475" s="120">
        <v>2</v>
      </c>
      <c r="P475" s="120">
        <v>-9999</v>
      </c>
      <c r="Q475" s="120">
        <v>262.5</v>
      </c>
      <c r="R475" s="120">
        <v>209.19999694824199</v>
      </c>
      <c r="S475" s="148">
        <v>17.399999618530298</v>
      </c>
      <c r="T475" s="120">
        <v>-9999</v>
      </c>
      <c r="U475" s="120">
        <v>15</v>
      </c>
      <c r="V475" s="120">
        <v>-9999</v>
      </c>
      <c r="W475" s="120">
        <v>-9999</v>
      </c>
      <c r="X475" s="120">
        <v>-9999</v>
      </c>
      <c r="Y475" s="120">
        <v>-9999</v>
      </c>
      <c r="Z475" s="120">
        <v>-9999</v>
      </c>
      <c r="AA475" s="120">
        <v>68</v>
      </c>
      <c r="AB475" s="120">
        <v>14.5</v>
      </c>
      <c r="AC475" s="120">
        <v>474</v>
      </c>
      <c r="AD475" s="120">
        <v>1746</v>
      </c>
      <c r="AE475" s="120">
        <v>-9999</v>
      </c>
      <c r="AF475" s="120">
        <v>-9999</v>
      </c>
      <c r="AG475" s="120">
        <v>-9999</v>
      </c>
    </row>
    <row r="476" spans="1:33" x14ac:dyDescent="0.25">
      <c r="A476" s="120">
        <v>475</v>
      </c>
      <c r="B476" s="120" t="b">
        <v>0</v>
      </c>
      <c r="C476" s="120">
        <v>0</v>
      </c>
      <c r="D476" s="61">
        <v>1</v>
      </c>
      <c r="E476" s="120">
        <v>1</v>
      </c>
      <c r="F476" s="120" t="s">
        <v>180</v>
      </c>
      <c r="G476" s="55">
        <v>250</v>
      </c>
      <c r="H476" s="120">
        <v>1204</v>
      </c>
      <c r="I476" s="57">
        <v>100</v>
      </c>
      <c r="J476" s="120">
        <v>110</v>
      </c>
      <c r="K476" s="120">
        <v>11</v>
      </c>
      <c r="L476" s="120">
        <v>60</v>
      </c>
      <c r="M476" s="120">
        <v>15</v>
      </c>
      <c r="N476" s="120">
        <v>40</v>
      </c>
      <c r="O476" s="120">
        <v>2</v>
      </c>
      <c r="P476" s="120">
        <v>25</v>
      </c>
      <c r="Q476" s="120">
        <v>262.5</v>
      </c>
      <c r="R476" s="120">
        <v>209.19999694824199</v>
      </c>
      <c r="S476" s="148">
        <v>17.399999618530298</v>
      </c>
      <c r="T476" s="120">
        <v>70</v>
      </c>
      <c r="U476" s="120">
        <v>15</v>
      </c>
      <c r="V476" s="120">
        <v>-9999</v>
      </c>
      <c r="W476" s="120">
        <v>-9999</v>
      </c>
      <c r="X476" s="120">
        <v>-9999</v>
      </c>
      <c r="Y476" s="120">
        <v>-9999</v>
      </c>
      <c r="Z476" s="120">
        <v>-9999</v>
      </c>
      <c r="AA476" s="120">
        <v>68</v>
      </c>
      <c r="AB476" s="120">
        <v>14.5</v>
      </c>
      <c r="AC476" s="120">
        <v>475</v>
      </c>
      <c r="AD476" s="120">
        <v>1747</v>
      </c>
      <c r="AE476" s="120">
        <v>-9999</v>
      </c>
      <c r="AF476" s="120">
        <v>-9999</v>
      </c>
      <c r="AG476" s="120">
        <v>-9999</v>
      </c>
    </row>
    <row r="477" spans="1:33" x14ac:dyDescent="0.25">
      <c r="A477" s="120">
        <v>476</v>
      </c>
      <c r="B477" s="120" t="b">
        <v>0</v>
      </c>
      <c r="C477" s="120">
        <v>0</v>
      </c>
      <c r="D477" s="61">
        <v>1</v>
      </c>
      <c r="E477" s="120">
        <v>1</v>
      </c>
      <c r="F477" s="120" t="s">
        <v>180</v>
      </c>
      <c r="G477" s="55">
        <v>250</v>
      </c>
      <c r="H477" s="120">
        <v>1185</v>
      </c>
      <c r="I477" s="57">
        <v>110</v>
      </c>
      <c r="J477" s="120">
        <v>120</v>
      </c>
      <c r="K477" s="120">
        <v>1</v>
      </c>
      <c r="L477" s="120">
        <v>50</v>
      </c>
      <c r="M477" s="120">
        <v>15</v>
      </c>
      <c r="N477" s="120">
        <v>40</v>
      </c>
      <c r="O477" s="120">
        <v>2</v>
      </c>
      <c r="P477" s="120">
        <v>5</v>
      </c>
      <c r="Q477" s="120">
        <v>262.5</v>
      </c>
      <c r="R477" s="120">
        <v>209.19999694824199</v>
      </c>
      <c r="S477" s="148">
        <v>17.700000762939499</v>
      </c>
      <c r="T477" s="120">
        <v>65</v>
      </c>
      <c r="U477" s="120">
        <v>15</v>
      </c>
      <c r="V477" s="120">
        <v>-9999</v>
      </c>
      <c r="W477" s="120">
        <v>-9999</v>
      </c>
      <c r="X477" s="120">
        <v>-9999</v>
      </c>
      <c r="Y477" s="120">
        <v>-9999</v>
      </c>
      <c r="Z477" s="120">
        <v>-9999</v>
      </c>
      <c r="AA477" s="120">
        <v>68</v>
      </c>
      <c r="AB477" s="120">
        <v>14.5</v>
      </c>
      <c r="AC477" s="120">
        <v>476</v>
      </c>
      <c r="AD477" s="120">
        <v>1748</v>
      </c>
      <c r="AE477" s="120">
        <v>-9999</v>
      </c>
      <c r="AF477" s="120">
        <v>-9999</v>
      </c>
      <c r="AG477" s="120">
        <v>-9999</v>
      </c>
    </row>
    <row r="478" spans="1:33" x14ac:dyDescent="0.25">
      <c r="A478" s="120">
        <v>477</v>
      </c>
      <c r="B478" s="120" t="b">
        <v>0</v>
      </c>
      <c r="C478" s="120">
        <v>0</v>
      </c>
      <c r="D478" s="61">
        <v>1</v>
      </c>
      <c r="E478" s="120">
        <v>1</v>
      </c>
      <c r="F478" s="120" t="s">
        <v>180</v>
      </c>
      <c r="G478" s="55">
        <v>250</v>
      </c>
      <c r="H478" s="120">
        <v>1241</v>
      </c>
      <c r="I478" s="57">
        <v>110</v>
      </c>
      <c r="J478" s="120">
        <v>110</v>
      </c>
      <c r="K478" s="120">
        <v>2</v>
      </c>
      <c r="L478" s="120">
        <v>50</v>
      </c>
      <c r="M478" s="120">
        <v>15</v>
      </c>
      <c r="N478" s="120">
        <v>40</v>
      </c>
      <c r="O478" s="120">
        <v>2</v>
      </c>
      <c r="P478" s="120">
        <v>20</v>
      </c>
      <c r="Q478" s="120">
        <v>275</v>
      </c>
      <c r="R478" s="120">
        <v>219.19999694824199</v>
      </c>
      <c r="S478" s="148">
        <v>17.700000762939499</v>
      </c>
      <c r="T478" s="120">
        <v>65</v>
      </c>
      <c r="U478" s="120">
        <v>15</v>
      </c>
      <c r="V478" s="120">
        <v>-9999</v>
      </c>
      <c r="W478" s="120">
        <v>-9999</v>
      </c>
      <c r="X478" s="120">
        <v>-9999</v>
      </c>
      <c r="Y478" s="120">
        <v>-9999</v>
      </c>
      <c r="Z478" s="120">
        <v>-9999</v>
      </c>
      <c r="AA478" s="120">
        <v>68</v>
      </c>
      <c r="AB478" s="120">
        <v>14.5</v>
      </c>
      <c r="AC478" s="120">
        <v>477</v>
      </c>
      <c r="AD478" s="120">
        <v>1749</v>
      </c>
      <c r="AE478" s="120">
        <v>-9999</v>
      </c>
      <c r="AF478" s="120">
        <v>-9999</v>
      </c>
      <c r="AG478" s="120">
        <v>-9999</v>
      </c>
    </row>
    <row r="479" spans="1:33" x14ac:dyDescent="0.25">
      <c r="A479" s="120">
        <v>478</v>
      </c>
      <c r="B479" s="120" t="b">
        <v>0</v>
      </c>
      <c r="C479" s="120">
        <v>0</v>
      </c>
      <c r="D479" s="61">
        <v>1</v>
      </c>
      <c r="E479" s="120">
        <v>1</v>
      </c>
      <c r="F479" s="120" t="s">
        <v>180</v>
      </c>
      <c r="G479" s="55">
        <v>250</v>
      </c>
      <c r="H479" s="120">
        <v>1241</v>
      </c>
      <c r="I479" s="57">
        <v>110</v>
      </c>
      <c r="J479" s="120">
        <v>110</v>
      </c>
      <c r="K479" s="120">
        <v>3</v>
      </c>
      <c r="L479" s="120">
        <v>40</v>
      </c>
      <c r="M479" s="120">
        <v>15</v>
      </c>
      <c r="N479" s="120">
        <v>40</v>
      </c>
      <c r="O479" s="120">
        <v>2</v>
      </c>
      <c r="P479" s="120">
        <v>16.666999816894499</v>
      </c>
      <c r="Q479" s="120">
        <v>275</v>
      </c>
      <c r="R479" s="120">
        <v>219.19999694824199</v>
      </c>
      <c r="S479" s="148">
        <v>17.700000762939499</v>
      </c>
      <c r="T479" s="120">
        <v>57</v>
      </c>
      <c r="U479" s="120">
        <v>15</v>
      </c>
      <c r="V479" s="120">
        <v>-9999</v>
      </c>
      <c r="W479" s="120">
        <v>-9999</v>
      </c>
      <c r="X479" s="120">
        <v>-9999</v>
      </c>
      <c r="Y479" s="120">
        <v>-9999</v>
      </c>
      <c r="Z479" s="120">
        <v>-9999</v>
      </c>
      <c r="AA479" s="120">
        <v>68</v>
      </c>
      <c r="AB479" s="120">
        <v>14.5</v>
      </c>
      <c r="AC479" s="120">
        <v>478</v>
      </c>
      <c r="AD479" s="120">
        <v>1750</v>
      </c>
      <c r="AE479" s="120">
        <v>-9999</v>
      </c>
      <c r="AF479" s="120">
        <v>-9999</v>
      </c>
      <c r="AG479" s="120">
        <v>-9999</v>
      </c>
    </row>
    <row r="480" spans="1:33" x14ac:dyDescent="0.25">
      <c r="A480" s="120">
        <v>479</v>
      </c>
      <c r="B480" s="120" t="b">
        <v>0</v>
      </c>
      <c r="C480" s="120">
        <v>0</v>
      </c>
      <c r="D480" s="61">
        <v>1</v>
      </c>
      <c r="E480" s="120">
        <v>1</v>
      </c>
      <c r="F480" s="120" t="s">
        <v>180</v>
      </c>
      <c r="G480" s="55">
        <v>250</v>
      </c>
      <c r="H480" s="120">
        <v>1185</v>
      </c>
      <c r="I480" s="57">
        <v>110</v>
      </c>
      <c r="J480" s="120">
        <v>120</v>
      </c>
      <c r="K480" s="120">
        <v>4</v>
      </c>
      <c r="L480" s="120">
        <v>100</v>
      </c>
      <c r="M480" s="120">
        <v>15</v>
      </c>
      <c r="N480" s="120">
        <v>40</v>
      </c>
      <c r="O480" s="120">
        <v>2</v>
      </c>
      <c r="P480" s="120">
        <v>-9999</v>
      </c>
      <c r="Q480" s="120">
        <v>262.5</v>
      </c>
      <c r="R480" s="120">
        <v>209.19999694824199</v>
      </c>
      <c r="S480" s="148">
        <v>17.700000762939499</v>
      </c>
      <c r="T480" s="120">
        <v>-9999</v>
      </c>
      <c r="U480" s="120">
        <v>15</v>
      </c>
      <c r="V480" s="120">
        <v>-9999</v>
      </c>
      <c r="W480" s="120">
        <v>-9999</v>
      </c>
      <c r="X480" s="120">
        <v>-9999</v>
      </c>
      <c r="Y480" s="120">
        <v>-9999</v>
      </c>
      <c r="Z480" s="120">
        <v>-9999</v>
      </c>
      <c r="AA480" s="120">
        <v>68</v>
      </c>
      <c r="AB480" s="120">
        <v>14.5</v>
      </c>
      <c r="AC480" s="120">
        <v>479</v>
      </c>
      <c r="AD480" s="120">
        <v>1751</v>
      </c>
      <c r="AE480" s="120">
        <v>-9999</v>
      </c>
      <c r="AF480" s="120">
        <v>-9999</v>
      </c>
      <c r="AG480" s="120">
        <v>-9999</v>
      </c>
    </row>
    <row r="481" spans="1:33" x14ac:dyDescent="0.25">
      <c r="A481" s="120">
        <v>480</v>
      </c>
      <c r="B481" s="120" t="b">
        <v>0</v>
      </c>
      <c r="C481" s="120">
        <v>0</v>
      </c>
      <c r="D481" s="61">
        <v>1</v>
      </c>
      <c r="E481" s="120">
        <v>1</v>
      </c>
      <c r="F481" s="120" t="s">
        <v>180</v>
      </c>
      <c r="G481" s="55">
        <v>250</v>
      </c>
      <c r="H481" s="120">
        <v>1185</v>
      </c>
      <c r="I481" s="57">
        <v>110</v>
      </c>
      <c r="J481" s="120">
        <v>120</v>
      </c>
      <c r="K481" s="120">
        <v>11</v>
      </c>
      <c r="L481" s="120">
        <v>60</v>
      </c>
      <c r="M481" s="120">
        <v>15</v>
      </c>
      <c r="N481" s="120">
        <v>40</v>
      </c>
      <c r="O481" s="120">
        <v>2</v>
      </c>
      <c r="P481" s="120">
        <v>25</v>
      </c>
      <c r="Q481" s="120">
        <v>262.5</v>
      </c>
      <c r="R481" s="120">
        <v>209.19999694824199</v>
      </c>
      <c r="S481" s="148">
        <v>17.700000762939499</v>
      </c>
      <c r="T481" s="120">
        <v>70</v>
      </c>
      <c r="U481" s="120">
        <v>15</v>
      </c>
      <c r="V481" s="120">
        <v>-9999</v>
      </c>
      <c r="W481" s="120">
        <v>-9999</v>
      </c>
      <c r="X481" s="120">
        <v>-9999</v>
      </c>
      <c r="Y481" s="120">
        <v>-9999</v>
      </c>
      <c r="Z481" s="120">
        <v>-9999</v>
      </c>
      <c r="AA481" s="120">
        <v>68</v>
      </c>
      <c r="AB481" s="120">
        <v>14.5</v>
      </c>
      <c r="AC481" s="120">
        <v>480</v>
      </c>
      <c r="AD481" s="120">
        <v>1752</v>
      </c>
      <c r="AE481" s="120">
        <v>-9999</v>
      </c>
      <c r="AF481" s="120">
        <v>-9999</v>
      </c>
      <c r="AG481" s="120">
        <v>-9999</v>
      </c>
    </row>
    <row r="482" spans="1:33" x14ac:dyDescent="0.25">
      <c r="A482" s="120">
        <v>481</v>
      </c>
      <c r="B482" s="120" t="b">
        <v>0</v>
      </c>
      <c r="C482" s="120">
        <v>0</v>
      </c>
      <c r="D482" s="61">
        <v>1</v>
      </c>
      <c r="E482" s="120">
        <v>1</v>
      </c>
      <c r="F482" s="120" t="s">
        <v>180</v>
      </c>
      <c r="G482" s="55">
        <v>250</v>
      </c>
      <c r="H482" s="120">
        <v>1089</v>
      </c>
      <c r="I482" s="57">
        <v>115</v>
      </c>
      <c r="J482" s="120">
        <v>125</v>
      </c>
      <c r="K482" s="120">
        <v>1</v>
      </c>
      <c r="L482" s="120">
        <v>50</v>
      </c>
      <c r="M482" s="120">
        <v>15</v>
      </c>
      <c r="N482" s="120">
        <v>40</v>
      </c>
      <c r="O482" s="120">
        <v>2</v>
      </c>
      <c r="P482" s="120">
        <v>5</v>
      </c>
      <c r="Q482" s="120">
        <v>262.5</v>
      </c>
      <c r="R482" s="120">
        <v>209.19999694824199</v>
      </c>
      <c r="S482" s="148">
        <v>19.200000762939499</v>
      </c>
      <c r="T482" s="120">
        <v>65</v>
      </c>
      <c r="U482" s="120">
        <v>15</v>
      </c>
      <c r="V482" s="120">
        <v>-9999</v>
      </c>
      <c r="W482" s="120">
        <v>-9999</v>
      </c>
      <c r="X482" s="120">
        <v>-9999</v>
      </c>
      <c r="Y482" s="120">
        <v>-9999</v>
      </c>
      <c r="Z482" s="120">
        <v>-9999</v>
      </c>
      <c r="AA482" s="120">
        <v>68</v>
      </c>
      <c r="AB482" s="120">
        <v>14.5</v>
      </c>
      <c r="AC482" s="120">
        <v>481</v>
      </c>
      <c r="AD482" s="120">
        <v>1753</v>
      </c>
      <c r="AE482" s="120">
        <v>-9999</v>
      </c>
      <c r="AF482" s="120">
        <v>-9999</v>
      </c>
      <c r="AG482" s="120">
        <v>-9999</v>
      </c>
    </row>
    <row r="483" spans="1:33" x14ac:dyDescent="0.25">
      <c r="A483" s="120">
        <v>482</v>
      </c>
      <c r="B483" s="120" t="b">
        <v>0</v>
      </c>
      <c r="C483" s="120">
        <v>0</v>
      </c>
      <c r="D483" s="61">
        <v>1</v>
      </c>
      <c r="E483" s="120">
        <v>1</v>
      </c>
      <c r="F483" s="120" t="s">
        <v>180</v>
      </c>
      <c r="G483" s="55">
        <v>250</v>
      </c>
      <c r="H483" s="120">
        <v>1141</v>
      </c>
      <c r="I483" s="57">
        <v>115</v>
      </c>
      <c r="J483" s="120">
        <v>115</v>
      </c>
      <c r="K483" s="120">
        <v>2</v>
      </c>
      <c r="L483" s="120">
        <v>50</v>
      </c>
      <c r="M483" s="120">
        <v>15</v>
      </c>
      <c r="N483" s="120">
        <v>40</v>
      </c>
      <c r="O483" s="120">
        <v>2</v>
      </c>
      <c r="P483" s="120">
        <v>20</v>
      </c>
      <c r="Q483" s="120">
        <v>275</v>
      </c>
      <c r="R483" s="120">
        <v>219.19999694824199</v>
      </c>
      <c r="S483" s="148">
        <v>19.200000762939499</v>
      </c>
      <c r="T483" s="120">
        <v>65</v>
      </c>
      <c r="U483" s="120">
        <v>15</v>
      </c>
      <c r="V483" s="120">
        <v>-9999</v>
      </c>
      <c r="W483" s="120">
        <v>-9999</v>
      </c>
      <c r="X483" s="120">
        <v>-9999</v>
      </c>
      <c r="Y483" s="120">
        <v>-9999</v>
      </c>
      <c r="Z483" s="120">
        <v>-9999</v>
      </c>
      <c r="AA483" s="120">
        <v>68</v>
      </c>
      <c r="AB483" s="120">
        <v>14.5</v>
      </c>
      <c r="AC483" s="120">
        <v>482</v>
      </c>
      <c r="AD483" s="120">
        <v>1754</v>
      </c>
      <c r="AE483" s="120">
        <v>-9999</v>
      </c>
      <c r="AF483" s="120">
        <v>-9999</v>
      </c>
      <c r="AG483" s="120">
        <v>-9999</v>
      </c>
    </row>
    <row r="484" spans="1:33" x14ac:dyDescent="0.25">
      <c r="A484" s="120">
        <v>483</v>
      </c>
      <c r="B484" s="120" t="b">
        <v>0</v>
      </c>
      <c r="C484" s="120">
        <v>0</v>
      </c>
      <c r="D484" s="61">
        <v>1</v>
      </c>
      <c r="E484" s="120">
        <v>1</v>
      </c>
      <c r="F484" s="120" t="s">
        <v>180</v>
      </c>
      <c r="G484" s="55">
        <v>250</v>
      </c>
      <c r="H484" s="120">
        <v>1141</v>
      </c>
      <c r="I484" s="57">
        <v>115</v>
      </c>
      <c r="J484" s="120">
        <v>115</v>
      </c>
      <c r="K484" s="120">
        <v>3</v>
      </c>
      <c r="L484" s="120">
        <v>40</v>
      </c>
      <c r="M484" s="120">
        <v>15</v>
      </c>
      <c r="N484" s="120">
        <v>40</v>
      </c>
      <c r="O484" s="120">
        <v>2</v>
      </c>
      <c r="P484" s="120">
        <v>16.666999816894499</v>
      </c>
      <c r="Q484" s="120">
        <v>275</v>
      </c>
      <c r="R484" s="120">
        <v>219.19999694824199</v>
      </c>
      <c r="S484" s="148">
        <v>19.200000762939499</v>
      </c>
      <c r="T484" s="120">
        <v>57</v>
      </c>
      <c r="U484" s="120">
        <v>15</v>
      </c>
      <c r="V484" s="120">
        <v>-9999</v>
      </c>
      <c r="W484" s="120">
        <v>-9999</v>
      </c>
      <c r="X484" s="120">
        <v>-9999</v>
      </c>
      <c r="Y484" s="120">
        <v>-9999</v>
      </c>
      <c r="Z484" s="120">
        <v>-9999</v>
      </c>
      <c r="AA484" s="120">
        <v>68</v>
      </c>
      <c r="AB484" s="120">
        <v>14.5</v>
      </c>
      <c r="AC484" s="120">
        <v>483</v>
      </c>
      <c r="AD484" s="120">
        <v>1755</v>
      </c>
      <c r="AE484" s="120">
        <v>-9999</v>
      </c>
      <c r="AF484" s="120">
        <v>-9999</v>
      </c>
      <c r="AG484" s="120">
        <v>-9999</v>
      </c>
    </row>
    <row r="485" spans="1:33" x14ac:dyDescent="0.25">
      <c r="A485" s="120">
        <v>484</v>
      </c>
      <c r="B485" s="120" t="b">
        <v>0</v>
      </c>
      <c r="C485" s="120">
        <v>0</v>
      </c>
      <c r="D485" s="61">
        <v>1</v>
      </c>
      <c r="E485" s="120">
        <v>1</v>
      </c>
      <c r="F485" s="120" t="s">
        <v>180</v>
      </c>
      <c r="G485" s="55">
        <v>250</v>
      </c>
      <c r="H485" s="120">
        <v>1089</v>
      </c>
      <c r="I485" s="57">
        <v>115</v>
      </c>
      <c r="J485" s="120">
        <v>125</v>
      </c>
      <c r="K485" s="120">
        <v>4</v>
      </c>
      <c r="L485" s="120">
        <v>100</v>
      </c>
      <c r="M485" s="120">
        <v>15</v>
      </c>
      <c r="N485" s="120">
        <v>40</v>
      </c>
      <c r="O485" s="120">
        <v>2</v>
      </c>
      <c r="P485" s="120">
        <v>-9999</v>
      </c>
      <c r="Q485" s="120">
        <v>262.5</v>
      </c>
      <c r="R485" s="120">
        <v>209.19999694824199</v>
      </c>
      <c r="S485" s="148">
        <v>19.200000762939499</v>
      </c>
      <c r="T485" s="120">
        <v>-9999</v>
      </c>
      <c r="U485" s="120">
        <v>15</v>
      </c>
      <c r="V485" s="120">
        <v>-9999</v>
      </c>
      <c r="W485" s="120">
        <v>-9999</v>
      </c>
      <c r="X485" s="120">
        <v>-9999</v>
      </c>
      <c r="Y485" s="120">
        <v>-9999</v>
      </c>
      <c r="Z485" s="120">
        <v>-9999</v>
      </c>
      <c r="AA485" s="120">
        <v>68</v>
      </c>
      <c r="AB485" s="120">
        <v>14.5</v>
      </c>
      <c r="AC485" s="120">
        <v>484</v>
      </c>
      <c r="AD485" s="120">
        <v>1756</v>
      </c>
      <c r="AE485" s="120">
        <v>-9999</v>
      </c>
      <c r="AF485" s="120">
        <v>-9999</v>
      </c>
      <c r="AG485" s="120">
        <v>-9999</v>
      </c>
    </row>
    <row r="486" spans="1:33" x14ac:dyDescent="0.25">
      <c r="A486" s="120">
        <v>485</v>
      </c>
      <c r="B486" s="120" t="b">
        <v>0</v>
      </c>
      <c r="C486" s="120">
        <v>0</v>
      </c>
      <c r="D486" s="61">
        <v>1</v>
      </c>
      <c r="E486" s="120">
        <v>1</v>
      </c>
      <c r="F486" s="120" t="s">
        <v>180</v>
      </c>
      <c r="G486" s="55">
        <v>250</v>
      </c>
      <c r="H486" s="120">
        <v>1089</v>
      </c>
      <c r="I486" s="57">
        <v>115</v>
      </c>
      <c r="J486" s="120">
        <v>125</v>
      </c>
      <c r="K486" s="120">
        <v>11</v>
      </c>
      <c r="L486" s="120">
        <v>60</v>
      </c>
      <c r="M486" s="120">
        <v>15</v>
      </c>
      <c r="N486" s="120">
        <v>40</v>
      </c>
      <c r="O486" s="120">
        <v>2</v>
      </c>
      <c r="P486" s="120">
        <v>25</v>
      </c>
      <c r="Q486" s="120">
        <v>262.5</v>
      </c>
      <c r="R486" s="120">
        <v>209.19999694824199</v>
      </c>
      <c r="S486" s="148">
        <v>19.200000762939499</v>
      </c>
      <c r="T486" s="120">
        <v>70</v>
      </c>
      <c r="U486" s="120">
        <v>15</v>
      </c>
      <c r="V486" s="120">
        <v>-9999</v>
      </c>
      <c r="W486" s="120">
        <v>-9999</v>
      </c>
      <c r="X486" s="120">
        <v>-9999</v>
      </c>
      <c r="Y486" s="120">
        <v>-9999</v>
      </c>
      <c r="Z486" s="120">
        <v>-9999</v>
      </c>
      <c r="AA486" s="120">
        <v>68</v>
      </c>
      <c r="AB486" s="120">
        <v>14.5</v>
      </c>
      <c r="AC486" s="120">
        <v>485</v>
      </c>
      <c r="AD486" s="120">
        <v>1757</v>
      </c>
      <c r="AE486" s="120">
        <v>-9999</v>
      </c>
      <c r="AF486" s="120">
        <v>-9999</v>
      </c>
      <c r="AG486" s="120">
        <v>-9999</v>
      </c>
    </row>
    <row r="487" spans="1:33" x14ac:dyDescent="0.25">
      <c r="A487" s="120">
        <v>486</v>
      </c>
      <c r="B487" s="120" t="b">
        <v>0</v>
      </c>
      <c r="C487" s="120">
        <v>0</v>
      </c>
      <c r="D487" s="61">
        <v>1</v>
      </c>
      <c r="E487" s="120">
        <v>1</v>
      </c>
      <c r="F487" s="120" t="s">
        <v>180</v>
      </c>
      <c r="G487" s="55">
        <v>250</v>
      </c>
      <c r="H487" s="120">
        <v>1076</v>
      </c>
      <c r="I487" s="57">
        <v>125</v>
      </c>
      <c r="J487" s="120">
        <v>135</v>
      </c>
      <c r="K487" s="120">
        <v>1</v>
      </c>
      <c r="L487" s="120">
        <v>50</v>
      </c>
      <c r="M487" s="120">
        <v>15</v>
      </c>
      <c r="N487" s="120">
        <v>40</v>
      </c>
      <c r="O487" s="120">
        <v>2</v>
      </c>
      <c r="P487" s="120">
        <v>5</v>
      </c>
      <c r="Q487" s="120">
        <v>262.5</v>
      </c>
      <c r="R487" s="120">
        <v>209.19999694824199</v>
      </c>
      <c r="S487" s="148">
        <v>19.5</v>
      </c>
      <c r="T487" s="120">
        <v>65</v>
      </c>
      <c r="U487" s="120">
        <v>14</v>
      </c>
      <c r="V487" s="120">
        <v>-9999</v>
      </c>
      <c r="W487" s="120">
        <v>-9999</v>
      </c>
      <c r="X487" s="120">
        <v>-9999</v>
      </c>
      <c r="Y487" s="120">
        <v>-9999</v>
      </c>
      <c r="Z487" s="120">
        <v>-9999</v>
      </c>
      <c r="AA487" s="120">
        <v>68</v>
      </c>
      <c r="AB487" s="120">
        <v>14.5</v>
      </c>
      <c r="AC487" s="120">
        <v>486</v>
      </c>
      <c r="AD487" s="120">
        <v>1758</v>
      </c>
      <c r="AE487" s="120">
        <v>-9999</v>
      </c>
      <c r="AF487" s="120">
        <v>-9999</v>
      </c>
      <c r="AG487" s="120">
        <v>-9999</v>
      </c>
    </row>
    <row r="488" spans="1:33" x14ac:dyDescent="0.25">
      <c r="A488" s="120">
        <v>487</v>
      </c>
      <c r="B488" s="120" t="b">
        <v>0</v>
      </c>
      <c r="C488" s="120">
        <v>0</v>
      </c>
      <c r="D488" s="61">
        <v>1</v>
      </c>
      <c r="E488" s="120">
        <v>1</v>
      </c>
      <c r="F488" s="120" t="s">
        <v>180</v>
      </c>
      <c r="G488" s="55">
        <v>250</v>
      </c>
      <c r="H488" s="120">
        <v>1127</v>
      </c>
      <c r="I488" s="57">
        <v>125</v>
      </c>
      <c r="J488" s="120">
        <v>125</v>
      </c>
      <c r="K488" s="120">
        <v>2</v>
      </c>
      <c r="L488" s="120">
        <v>50</v>
      </c>
      <c r="M488" s="120">
        <v>15</v>
      </c>
      <c r="N488" s="120">
        <v>40</v>
      </c>
      <c r="O488" s="120">
        <v>2</v>
      </c>
      <c r="P488" s="120">
        <v>20</v>
      </c>
      <c r="Q488" s="120">
        <v>275</v>
      </c>
      <c r="R488" s="120">
        <v>219.19999694824199</v>
      </c>
      <c r="S488" s="148">
        <v>19.5</v>
      </c>
      <c r="T488" s="120">
        <v>65</v>
      </c>
      <c r="U488" s="120">
        <v>14</v>
      </c>
      <c r="V488" s="120">
        <v>-9999</v>
      </c>
      <c r="W488" s="120">
        <v>-9999</v>
      </c>
      <c r="X488" s="120">
        <v>-9999</v>
      </c>
      <c r="Y488" s="120">
        <v>-9999</v>
      </c>
      <c r="Z488" s="120">
        <v>-9999</v>
      </c>
      <c r="AA488" s="120">
        <v>68</v>
      </c>
      <c r="AB488" s="120">
        <v>14.5</v>
      </c>
      <c r="AC488" s="120">
        <v>487</v>
      </c>
      <c r="AD488" s="120">
        <v>1759</v>
      </c>
      <c r="AE488" s="120">
        <v>-9999</v>
      </c>
      <c r="AF488" s="120">
        <v>-9999</v>
      </c>
      <c r="AG488" s="120">
        <v>-9999</v>
      </c>
    </row>
    <row r="489" spans="1:33" x14ac:dyDescent="0.25">
      <c r="A489" s="120">
        <v>488</v>
      </c>
      <c r="B489" s="120" t="b">
        <v>0</v>
      </c>
      <c r="C489" s="120">
        <v>0</v>
      </c>
      <c r="D489" s="61">
        <v>1</v>
      </c>
      <c r="E489" s="120">
        <v>1</v>
      </c>
      <c r="F489" s="120" t="s">
        <v>180</v>
      </c>
      <c r="G489" s="55">
        <v>250</v>
      </c>
      <c r="H489" s="120">
        <v>1127</v>
      </c>
      <c r="I489" s="57">
        <v>125</v>
      </c>
      <c r="J489" s="120">
        <v>125</v>
      </c>
      <c r="K489" s="120">
        <v>3</v>
      </c>
      <c r="L489" s="120">
        <v>40</v>
      </c>
      <c r="M489" s="120">
        <v>15</v>
      </c>
      <c r="N489" s="120">
        <v>40</v>
      </c>
      <c r="O489" s="120">
        <v>2</v>
      </c>
      <c r="P489" s="120">
        <v>16.666999816894499</v>
      </c>
      <c r="Q489" s="120">
        <v>275</v>
      </c>
      <c r="R489" s="120">
        <v>219.19999694824199</v>
      </c>
      <c r="S489" s="148">
        <v>19.5</v>
      </c>
      <c r="T489" s="120">
        <v>57</v>
      </c>
      <c r="U489" s="120">
        <v>14</v>
      </c>
      <c r="V489" s="120">
        <v>-9999</v>
      </c>
      <c r="W489" s="120">
        <v>-9999</v>
      </c>
      <c r="X489" s="120">
        <v>-9999</v>
      </c>
      <c r="Y489" s="120">
        <v>-9999</v>
      </c>
      <c r="Z489" s="120">
        <v>-9999</v>
      </c>
      <c r="AA489" s="120">
        <v>68</v>
      </c>
      <c r="AB489" s="120">
        <v>14.5</v>
      </c>
      <c r="AC489" s="120">
        <v>488</v>
      </c>
      <c r="AD489" s="120">
        <v>1760</v>
      </c>
      <c r="AE489" s="120">
        <v>-9999</v>
      </c>
      <c r="AF489" s="120">
        <v>-9999</v>
      </c>
      <c r="AG489" s="120">
        <v>-9999</v>
      </c>
    </row>
    <row r="490" spans="1:33" x14ac:dyDescent="0.25">
      <c r="A490" s="120">
        <v>489</v>
      </c>
      <c r="B490" s="120" t="b">
        <v>0</v>
      </c>
      <c r="C490" s="120">
        <v>0</v>
      </c>
      <c r="D490" s="61">
        <v>1</v>
      </c>
      <c r="E490" s="120">
        <v>1</v>
      </c>
      <c r="F490" s="120" t="s">
        <v>180</v>
      </c>
      <c r="G490" s="55">
        <v>250</v>
      </c>
      <c r="H490" s="120">
        <v>1076</v>
      </c>
      <c r="I490" s="57">
        <v>125</v>
      </c>
      <c r="J490" s="120">
        <v>135</v>
      </c>
      <c r="K490" s="120">
        <v>4</v>
      </c>
      <c r="L490" s="120">
        <v>100</v>
      </c>
      <c r="M490" s="120">
        <v>15</v>
      </c>
      <c r="N490" s="120">
        <v>40</v>
      </c>
      <c r="O490" s="120">
        <v>2</v>
      </c>
      <c r="P490" s="120">
        <v>-9999</v>
      </c>
      <c r="Q490" s="120">
        <v>262.5</v>
      </c>
      <c r="R490" s="120">
        <v>209.19999694824199</v>
      </c>
      <c r="S490" s="148">
        <v>19.5</v>
      </c>
      <c r="T490" s="120">
        <v>-9999</v>
      </c>
      <c r="U490" s="120">
        <v>14</v>
      </c>
      <c r="V490" s="120">
        <v>-9999</v>
      </c>
      <c r="W490" s="120">
        <v>-9999</v>
      </c>
      <c r="X490" s="120">
        <v>-9999</v>
      </c>
      <c r="Y490" s="120">
        <v>-9999</v>
      </c>
      <c r="Z490" s="120">
        <v>-9999</v>
      </c>
      <c r="AA490" s="120">
        <v>68</v>
      </c>
      <c r="AB490" s="120">
        <v>14.5</v>
      </c>
      <c r="AC490" s="120">
        <v>489</v>
      </c>
      <c r="AD490" s="120">
        <v>1761</v>
      </c>
      <c r="AE490" s="120">
        <v>-9999</v>
      </c>
      <c r="AF490" s="120">
        <v>-9999</v>
      </c>
      <c r="AG490" s="120">
        <v>-9999</v>
      </c>
    </row>
    <row r="491" spans="1:33" x14ac:dyDescent="0.25">
      <c r="A491" s="120">
        <v>490</v>
      </c>
      <c r="B491" s="120" t="b">
        <v>0</v>
      </c>
      <c r="C491" s="120">
        <v>0</v>
      </c>
      <c r="D491" s="61">
        <v>1</v>
      </c>
      <c r="E491" s="120">
        <v>1</v>
      </c>
      <c r="F491" s="120" t="s">
        <v>180</v>
      </c>
      <c r="G491" s="55">
        <v>250</v>
      </c>
      <c r="H491" s="120">
        <v>1076</v>
      </c>
      <c r="I491" s="57">
        <v>125</v>
      </c>
      <c r="J491" s="120">
        <v>135</v>
      </c>
      <c r="K491" s="120">
        <v>11</v>
      </c>
      <c r="L491" s="120">
        <v>60</v>
      </c>
      <c r="M491" s="120">
        <v>15</v>
      </c>
      <c r="N491" s="120">
        <v>40</v>
      </c>
      <c r="O491" s="120">
        <v>2</v>
      </c>
      <c r="P491" s="120">
        <v>25</v>
      </c>
      <c r="Q491" s="120">
        <v>262.5</v>
      </c>
      <c r="R491" s="120">
        <v>209.19999694824199</v>
      </c>
      <c r="S491" s="148">
        <v>19.5</v>
      </c>
      <c r="T491" s="120">
        <v>70</v>
      </c>
      <c r="U491" s="120">
        <v>14</v>
      </c>
      <c r="V491" s="120">
        <v>-9999</v>
      </c>
      <c r="W491" s="120">
        <v>-9999</v>
      </c>
      <c r="X491" s="120">
        <v>-9999</v>
      </c>
      <c r="Y491" s="120">
        <v>-9999</v>
      </c>
      <c r="Z491" s="120">
        <v>-9999</v>
      </c>
      <c r="AA491" s="120">
        <v>68</v>
      </c>
      <c r="AB491" s="120">
        <v>14.5</v>
      </c>
      <c r="AC491" s="120">
        <v>490</v>
      </c>
      <c r="AD491" s="120">
        <v>1762</v>
      </c>
      <c r="AE491" s="120">
        <v>-9999</v>
      </c>
      <c r="AF491" s="120">
        <v>-9999</v>
      </c>
      <c r="AG491" s="120">
        <v>-9999</v>
      </c>
    </row>
    <row r="492" spans="1:33" x14ac:dyDescent="0.25">
      <c r="A492" s="120">
        <v>491</v>
      </c>
      <c r="B492" s="120" t="b">
        <v>0</v>
      </c>
      <c r="C492" s="120">
        <v>0</v>
      </c>
      <c r="D492" s="61">
        <v>1</v>
      </c>
      <c r="E492" s="120">
        <v>1</v>
      </c>
      <c r="F492" s="120" t="s">
        <v>180</v>
      </c>
      <c r="G492" s="55">
        <v>250</v>
      </c>
      <c r="H492" s="120">
        <v>935</v>
      </c>
      <c r="I492" s="57">
        <v>140</v>
      </c>
      <c r="J492" s="120">
        <v>150</v>
      </c>
      <c r="K492" s="120">
        <v>1</v>
      </c>
      <c r="L492" s="120">
        <v>50</v>
      </c>
      <c r="M492" s="120">
        <v>15</v>
      </c>
      <c r="N492" s="120">
        <v>40</v>
      </c>
      <c r="O492" s="120">
        <v>2</v>
      </c>
      <c r="P492" s="120">
        <v>5</v>
      </c>
      <c r="Q492" s="120">
        <v>262.5</v>
      </c>
      <c r="R492" s="120">
        <v>209.19999694824199</v>
      </c>
      <c r="S492" s="148">
        <v>22.399999618530298</v>
      </c>
      <c r="T492" s="120">
        <v>65</v>
      </c>
      <c r="U492" s="120">
        <v>13</v>
      </c>
      <c r="V492" s="120">
        <v>-9999</v>
      </c>
      <c r="W492" s="120">
        <v>-9999</v>
      </c>
      <c r="X492" s="120">
        <v>-9999</v>
      </c>
      <c r="Y492" s="120">
        <v>-9999</v>
      </c>
      <c r="Z492" s="120">
        <v>-9999</v>
      </c>
      <c r="AA492" s="120">
        <v>68</v>
      </c>
      <c r="AB492" s="120">
        <v>14.5</v>
      </c>
      <c r="AC492" s="120">
        <v>491</v>
      </c>
      <c r="AD492" s="120">
        <v>1763</v>
      </c>
      <c r="AE492" s="120">
        <v>-9999</v>
      </c>
      <c r="AF492" s="120">
        <v>-9999</v>
      </c>
      <c r="AG492" s="120">
        <v>-9999</v>
      </c>
    </row>
    <row r="493" spans="1:33" x14ac:dyDescent="0.25">
      <c r="A493" s="120">
        <v>492</v>
      </c>
      <c r="B493" s="120" t="b">
        <v>0</v>
      </c>
      <c r="C493" s="120">
        <v>0</v>
      </c>
      <c r="D493" s="61">
        <v>1</v>
      </c>
      <c r="E493" s="120">
        <v>1</v>
      </c>
      <c r="F493" s="120" t="s">
        <v>180</v>
      </c>
      <c r="G493" s="55">
        <v>250</v>
      </c>
      <c r="H493" s="120">
        <v>979</v>
      </c>
      <c r="I493" s="57">
        <v>140</v>
      </c>
      <c r="J493" s="120">
        <v>140</v>
      </c>
      <c r="K493" s="120">
        <v>2</v>
      </c>
      <c r="L493" s="120">
        <v>50</v>
      </c>
      <c r="M493" s="120">
        <v>15</v>
      </c>
      <c r="N493" s="120">
        <v>40</v>
      </c>
      <c r="O493" s="120">
        <v>2</v>
      </c>
      <c r="P493" s="120">
        <v>20</v>
      </c>
      <c r="Q493" s="120">
        <v>275</v>
      </c>
      <c r="R493" s="120">
        <v>219.19999694824199</v>
      </c>
      <c r="S493" s="148">
        <v>22.399999618530298</v>
      </c>
      <c r="T493" s="120">
        <v>65</v>
      </c>
      <c r="U493" s="120">
        <v>13</v>
      </c>
      <c r="V493" s="120">
        <v>-9999</v>
      </c>
      <c r="W493" s="120">
        <v>-9999</v>
      </c>
      <c r="X493" s="120">
        <v>-9999</v>
      </c>
      <c r="Y493" s="120">
        <v>-9999</v>
      </c>
      <c r="Z493" s="120">
        <v>-9999</v>
      </c>
      <c r="AA493" s="120">
        <v>68</v>
      </c>
      <c r="AB493" s="120">
        <v>14.5</v>
      </c>
      <c r="AC493" s="120">
        <v>492</v>
      </c>
      <c r="AD493" s="120">
        <v>1764</v>
      </c>
      <c r="AE493" s="120">
        <v>-9999</v>
      </c>
      <c r="AF493" s="120">
        <v>-9999</v>
      </c>
      <c r="AG493" s="120">
        <v>-9999</v>
      </c>
    </row>
    <row r="494" spans="1:33" x14ac:dyDescent="0.25">
      <c r="A494" s="120">
        <v>493</v>
      </c>
      <c r="B494" s="120" t="b">
        <v>0</v>
      </c>
      <c r="C494" s="120">
        <v>0</v>
      </c>
      <c r="D494" s="61">
        <v>1</v>
      </c>
      <c r="E494" s="120">
        <v>1</v>
      </c>
      <c r="F494" s="120" t="s">
        <v>180</v>
      </c>
      <c r="G494" s="55">
        <v>250</v>
      </c>
      <c r="H494" s="120">
        <v>979</v>
      </c>
      <c r="I494" s="57">
        <v>140</v>
      </c>
      <c r="J494" s="120">
        <v>140</v>
      </c>
      <c r="K494" s="120">
        <v>3</v>
      </c>
      <c r="L494" s="120">
        <v>40</v>
      </c>
      <c r="M494" s="120">
        <v>15</v>
      </c>
      <c r="N494" s="120">
        <v>40</v>
      </c>
      <c r="O494" s="120">
        <v>2</v>
      </c>
      <c r="P494" s="120">
        <v>16.666999816894499</v>
      </c>
      <c r="Q494" s="120">
        <v>275</v>
      </c>
      <c r="R494" s="120">
        <v>219.19999694824199</v>
      </c>
      <c r="S494" s="148">
        <v>22.399999618530298</v>
      </c>
      <c r="T494" s="120">
        <v>57</v>
      </c>
      <c r="U494" s="120">
        <v>13</v>
      </c>
      <c r="V494" s="120">
        <v>-9999</v>
      </c>
      <c r="W494" s="120">
        <v>-9999</v>
      </c>
      <c r="X494" s="120">
        <v>-9999</v>
      </c>
      <c r="Y494" s="120">
        <v>-9999</v>
      </c>
      <c r="Z494" s="120">
        <v>-9999</v>
      </c>
      <c r="AA494" s="120">
        <v>68</v>
      </c>
      <c r="AB494" s="120">
        <v>14.5</v>
      </c>
      <c r="AC494" s="120">
        <v>493</v>
      </c>
      <c r="AD494" s="120">
        <v>1765</v>
      </c>
      <c r="AE494" s="120">
        <v>-9999</v>
      </c>
      <c r="AF494" s="120">
        <v>-9999</v>
      </c>
      <c r="AG494" s="120">
        <v>-9999</v>
      </c>
    </row>
    <row r="495" spans="1:33" x14ac:dyDescent="0.25">
      <c r="A495" s="120">
        <v>494</v>
      </c>
      <c r="B495" s="120" t="b">
        <v>0</v>
      </c>
      <c r="C495" s="120">
        <v>0</v>
      </c>
      <c r="D495" s="61">
        <v>1</v>
      </c>
      <c r="E495" s="120">
        <v>1</v>
      </c>
      <c r="F495" s="120" t="s">
        <v>180</v>
      </c>
      <c r="G495" s="55">
        <v>250</v>
      </c>
      <c r="H495" s="120">
        <v>935</v>
      </c>
      <c r="I495" s="57">
        <v>140</v>
      </c>
      <c r="J495" s="120">
        <v>150</v>
      </c>
      <c r="K495" s="120">
        <v>4</v>
      </c>
      <c r="L495" s="120">
        <v>100</v>
      </c>
      <c r="M495" s="120">
        <v>15</v>
      </c>
      <c r="N495" s="120">
        <v>40</v>
      </c>
      <c r="O495" s="120">
        <v>2</v>
      </c>
      <c r="P495" s="120">
        <v>-9999</v>
      </c>
      <c r="Q495" s="120">
        <v>262.5</v>
      </c>
      <c r="R495" s="120">
        <v>209.19999694824199</v>
      </c>
      <c r="S495" s="148">
        <v>22.399999618530298</v>
      </c>
      <c r="T495" s="120">
        <v>-9999</v>
      </c>
      <c r="U495" s="120">
        <v>13</v>
      </c>
      <c r="V495" s="120">
        <v>-9999</v>
      </c>
      <c r="W495" s="120">
        <v>-9999</v>
      </c>
      <c r="X495" s="120">
        <v>-9999</v>
      </c>
      <c r="Y495" s="120">
        <v>-9999</v>
      </c>
      <c r="Z495" s="120">
        <v>-9999</v>
      </c>
      <c r="AA495" s="120">
        <v>68</v>
      </c>
      <c r="AB495" s="120">
        <v>14.5</v>
      </c>
      <c r="AC495" s="120">
        <v>494</v>
      </c>
      <c r="AD495" s="120">
        <v>1766</v>
      </c>
      <c r="AE495" s="120">
        <v>-9999</v>
      </c>
      <c r="AF495" s="120">
        <v>-9999</v>
      </c>
      <c r="AG495" s="120">
        <v>-9999</v>
      </c>
    </row>
    <row r="496" spans="1:33" x14ac:dyDescent="0.25">
      <c r="A496" s="120">
        <v>495</v>
      </c>
      <c r="B496" s="120" t="b">
        <v>0</v>
      </c>
      <c r="C496" s="120">
        <v>0</v>
      </c>
      <c r="D496" s="61">
        <v>1</v>
      </c>
      <c r="E496" s="120">
        <v>1</v>
      </c>
      <c r="F496" s="120" t="s">
        <v>180</v>
      </c>
      <c r="G496" s="55">
        <v>250</v>
      </c>
      <c r="H496" s="120">
        <v>935</v>
      </c>
      <c r="I496" s="57">
        <v>140</v>
      </c>
      <c r="J496" s="120">
        <v>150</v>
      </c>
      <c r="K496" s="120">
        <v>11</v>
      </c>
      <c r="L496" s="120">
        <v>60</v>
      </c>
      <c r="M496" s="120">
        <v>15</v>
      </c>
      <c r="N496" s="120">
        <v>40</v>
      </c>
      <c r="O496" s="120">
        <v>2</v>
      </c>
      <c r="P496" s="120">
        <v>25</v>
      </c>
      <c r="Q496" s="120">
        <v>262.5</v>
      </c>
      <c r="R496" s="120">
        <v>209.19999694824199</v>
      </c>
      <c r="S496" s="148">
        <v>22.399999618530298</v>
      </c>
      <c r="T496" s="120">
        <v>70</v>
      </c>
      <c r="U496" s="120">
        <v>13</v>
      </c>
      <c r="V496" s="120">
        <v>-9999</v>
      </c>
      <c r="W496" s="120">
        <v>-9999</v>
      </c>
      <c r="X496" s="120">
        <v>-9999</v>
      </c>
      <c r="Y496" s="120">
        <v>-9999</v>
      </c>
      <c r="Z496" s="120">
        <v>-9999</v>
      </c>
      <c r="AA496" s="120">
        <v>68</v>
      </c>
      <c r="AB496" s="120">
        <v>14.5</v>
      </c>
      <c r="AC496" s="120">
        <v>495</v>
      </c>
      <c r="AD496" s="120">
        <v>1767</v>
      </c>
      <c r="AE496" s="120">
        <v>-9999</v>
      </c>
      <c r="AF496" s="120">
        <v>-9999</v>
      </c>
      <c r="AG496" s="120">
        <v>-9999</v>
      </c>
    </row>
    <row r="497" spans="1:33" x14ac:dyDescent="0.25">
      <c r="A497" s="120">
        <v>496</v>
      </c>
      <c r="B497" s="120" t="b">
        <v>0</v>
      </c>
      <c r="C497" s="120">
        <v>0</v>
      </c>
      <c r="D497" s="61">
        <v>1</v>
      </c>
      <c r="E497" s="120">
        <v>1</v>
      </c>
      <c r="F497" s="120" t="s">
        <v>180</v>
      </c>
      <c r="G497" s="55">
        <v>250</v>
      </c>
      <c r="H497" s="120">
        <v>961</v>
      </c>
      <c r="I497" s="57">
        <v>150</v>
      </c>
      <c r="J497" s="120">
        <v>160</v>
      </c>
      <c r="K497" s="120">
        <v>1</v>
      </c>
      <c r="L497" s="120">
        <v>50</v>
      </c>
      <c r="M497" s="120">
        <v>15</v>
      </c>
      <c r="N497" s="120">
        <v>40</v>
      </c>
      <c r="O497" s="120">
        <v>2</v>
      </c>
      <c r="P497" s="120">
        <v>5</v>
      </c>
      <c r="Q497" s="120">
        <v>262.5</v>
      </c>
      <c r="R497" s="120">
        <v>209.19999694824199</v>
      </c>
      <c r="S497" s="148">
        <v>21.799999237060501</v>
      </c>
      <c r="T497" s="120">
        <v>65</v>
      </c>
      <c r="U497" s="120">
        <v>13</v>
      </c>
      <c r="V497" s="120">
        <v>-9999</v>
      </c>
      <c r="W497" s="120">
        <v>-9999</v>
      </c>
      <c r="X497" s="120">
        <v>-9999</v>
      </c>
      <c r="Y497" s="120">
        <v>-9999</v>
      </c>
      <c r="Z497" s="120">
        <v>-9999</v>
      </c>
      <c r="AA497" s="120">
        <v>68</v>
      </c>
      <c r="AB497" s="120">
        <v>14.5</v>
      </c>
      <c r="AC497" s="120">
        <v>496</v>
      </c>
      <c r="AD497" s="120">
        <v>1768</v>
      </c>
      <c r="AE497" s="120">
        <v>-9999</v>
      </c>
      <c r="AF497" s="120">
        <v>-9999</v>
      </c>
      <c r="AG497" s="120">
        <v>-9999</v>
      </c>
    </row>
    <row r="498" spans="1:33" x14ac:dyDescent="0.25">
      <c r="A498" s="120">
        <v>497</v>
      </c>
      <c r="B498" s="120" t="b">
        <v>0</v>
      </c>
      <c r="C498" s="120">
        <v>0</v>
      </c>
      <c r="D498" s="61">
        <v>1</v>
      </c>
      <c r="E498" s="120">
        <v>1</v>
      </c>
      <c r="F498" s="120" t="s">
        <v>180</v>
      </c>
      <c r="G498" s="55">
        <v>250</v>
      </c>
      <c r="H498" s="120">
        <v>1007</v>
      </c>
      <c r="I498" s="57">
        <v>150</v>
      </c>
      <c r="J498" s="120">
        <v>150</v>
      </c>
      <c r="K498" s="120">
        <v>2</v>
      </c>
      <c r="L498" s="120">
        <v>50</v>
      </c>
      <c r="M498" s="120">
        <v>15</v>
      </c>
      <c r="N498" s="120">
        <v>40</v>
      </c>
      <c r="O498" s="120">
        <v>2</v>
      </c>
      <c r="P498" s="120">
        <v>20</v>
      </c>
      <c r="Q498" s="120">
        <v>275</v>
      </c>
      <c r="R498" s="120">
        <v>219.19999694824199</v>
      </c>
      <c r="S498" s="148">
        <v>21.799999237060501</v>
      </c>
      <c r="T498" s="120">
        <v>65</v>
      </c>
      <c r="U498" s="120">
        <v>13</v>
      </c>
      <c r="V498" s="120">
        <v>-9999</v>
      </c>
      <c r="W498" s="120">
        <v>-9999</v>
      </c>
      <c r="X498" s="120">
        <v>-9999</v>
      </c>
      <c r="Y498" s="120">
        <v>-9999</v>
      </c>
      <c r="Z498" s="120">
        <v>-9999</v>
      </c>
      <c r="AA498" s="120">
        <v>68</v>
      </c>
      <c r="AB498" s="120">
        <v>14.5</v>
      </c>
      <c r="AC498" s="120">
        <v>497</v>
      </c>
      <c r="AD498" s="120">
        <v>1769</v>
      </c>
      <c r="AE498" s="120">
        <v>-9999</v>
      </c>
      <c r="AF498" s="120">
        <v>-9999</v>
      </c>
      <c r="AG498" s="120">
        <v>-9999</v>
      </c>
    </row>
    <row r="499" spans="1:33" x14ac:dyDescent="0.25">
      <c r="A499" s="120">
        <v>498</v>
      </c>
      <c r="B499" s="120" t="b">
        <v>0</v>
      </c>
      <c r="C499" s="120">
        <v>0</v>
      </c>
      <c r="D499" s="61">
        <v>1</v>
      </c>
      <c r="E499" s="120">
        <v>1</v>
      </c>
      <c r="F499" s="120" t="s">
        <v>180</v>
      </c>
      <c r="G499" s="55">
        <v>250</v>
      </c>
      <c r="H499" s="120">
        <v>1007</v>
      </c>
      <c r="I499" s="57">
        <v>150</v>
      </c>
      <c r="J499" s="120">
        <v>150</v>
      </c>
      <c r="K499" s="120">
        <v>3</v>
      </c>
      <c r="L499" s="120">
        <v>40</v>
      </c>
      <c r="M499" s="120">
        <v>15</v>
      </c>
      <c r="N499" s="120">
        <v>40</v>
      </c>
      <c r="O499" s="120">
        <v>2</v>
      </c>
      <c r="P499" s="120">
        <v>16.666999816894499</v>
      </c>
      <c r="Q499" s="120">
        <v>275</v>
      </c>
      <c r="R499" s="120">
        <v>219.19999694824199</v>
      </c>
      <c r="S499" s="148">
        <v>21.799999237060501</v>
      </c>
      <c r="T499" s="120">
        <v>57</v>
      </c>
      <c r="U499" s="120">
        <v>13</v>
      </c>
      <c r="V499" s="120">
        <v>-9999</v>
      </c>
      <c r="W499" s="120">
        <v>-9999</v>
      </c>
      <c r="X499" s="120">
        <v>-9999</v>
      </c>
      <c r="Y499" s="120">
        <v>-9999</v>
      </c>
      <c r="Z499" s="120">
        <v>-9999</v>
      </c>
      <c r="AA499" s="120">
        <v>68</v>
      </c>
      <c r="AB499" s="120">
        <v>14.5</v>
      </c>
      <c r="AC499" s="120">
        <v>498</v>
      </c>
      <c r="AD499" s="120">
        <v>1770</v>
      </c>
      <c r="AE499" s="120">
        <v>-9999</v>
      </c>
      <c r="AF499" s="120">
        <v>-9999</v>
      </c>
      <c r="AG499" s="120">
        <v>-9999</v>
      </c>
    </row>
    <row r="500" spans="1:33" x14ac:dyDescent="0.25">
      <c r="A500" s="120">
        <v>499</v>
      </c>
      <c r="B500" s="120" t="b">
        <v>0</v>
      </c>
      <c r="C500" s="120">
        <v>0</v>
      </c>
      <c r="D500" s="61">
        <v>1</v>
      </c>
      <c r="E500" s="120">
        <v>1</v>
      </c>
      <c r="F500" s="120" t="s">
        <v>180</v>
      </c>
      <c r="G500" s="55">
        <v>250</v>
      </c>
      <c r="H500" s="120">
        <v>961</v>
      </c>
      <c r="I500" s="57">
        <v>150</v>
      </c>
      <c r="J500" s="120">
        <v>160</v>
      </c>
      <c r="K500" s="120">
        <v>4</v>
      </c>
      <c r="L500" s="120">
        <v>100</v>
      </c>
      <c r="M500" s="120">
        <v>15</v>
      </c>
      <c r="N500" s="120">
        <v>40</v>
      </c>
      <c r="O500" s="120">
        <v>2</v>
      </c>
      <c r="P500" s="120">
        <v>-9999</v>
      </c>
      <c r="Q500" s="120">
        <v>262.5</v>
      </c>
      <c r="R500" s="120">
        <v>209.19999694824199</v>
      </c>
      <c r="S500" s="148">
        <v>21.799999237060501</v>
      </c>
      <c r="T500" s="120">
        <v>-9999</v>
      </c>
      <c r="U500" s="120">
        <v>13</v>
      </c>
      <c r="V500" s="120">
        <v>-9999</v>
      </c>
      <c r="W500" s="120">
        <v>-9999</v>
      </c>
      <c r="X500" s="120">
        <v>-9999</v>
      </c>
      <c r="Y500" s="120">
        <v>-9999</v>
      </c>
      <c r="Z500" s="120">
        <v>-9999</v>
      </c>
      <c r="AA500" s="120">
        <v>68</v>
      </c>
      <c r="AB500" s="120">
        <v>14.5</v>
      </c>
      <c r="AC500" s="120">
        <v>499</v>
      </c>
      <c r="AD500" s="120">
        <v>1771</v>
      </c>
      <c r="AE500" s="120">
        <v>-9999</v>
      </c>
      <c r="AF500" s="120">
        <v>-9999</v>
      </c>
      <c r="AG500" s="120">
        <v>-9999</v>
      </c>
    </row>
    <row r="501" spans="1:33" x14ac:dyDescent="0.25">
      <c r="A501" s="120">
        <v>500</v>
      </c>
      <c r="B501" s="120" t="b">
        <v>0</v>
      </c>
      <c r="C501" s="120">
        <v>0</v>
      </c>
      <c r="D501" s="61">
        <v>1</v>
      </c>
      <c r="E501" s="120">
        <v>1</v>
      </c>
      <c r="F501" s="120" t="s">
        <v>180</v>
      </c>
      <c r="G501" s="55">
        <v>250</v>
      </c>
      <c r="H501" s="120">
        <v>961</v>
      </c>
      <c r="I501" s="57">
        <v>150</v>
      </c>
      <c r="J501" s="120">
        <v>160</v>
      </c>
      <c r="K501" s="120">
        <v>11</v>
      </c>
      <c r="L501" s="120">
        <v>60</v>
      </c>
      <c r="M501" s="120">
        <v>15</v>
      </c>
      <c r="N501" s="120">
        <v>40</v>
      </c>
      <c r="O501" s="120">
        <v>2</v>
      </c>
      <c r="P501" s="120">
        <v>25</v>
      </c>
      <c r="Q501" s="120">
        <v>262.5</v>
      </c>
      <c r="R501" s="120">
        <v>209.19999694824199</v>
      </c>
      <c r="S501" s="148">
        <v>21.799999237060501</v>
      </c>
      <c r="T501" s="120">
        <v>70</v>
      </c>
      <c r="U501" s="120">
        <v>13</v>
      </c>
      <c r="V501" s="120">
        <v>-9999</v>
      </c>
      <c r="W501" s="120">
        <v>-9999</v>
      </c>
      <c r="X501" s="120">
        <v>-9999</v>
      </c>
      <c r="Y501" s="120">
        <v>-9999</v>
      </c>
      <c r="Z501" s="120">
        <v>-9999</v>
      </c>
      <c r="AA501" s="120">
        <v>68</v>
      </c>
      <c r="AB501" s="120">
        <v>14.5</v>
      </c>
      <c r="AC501" s="120">
        <v>500</v>
      </c>
      <c r="AD501" s="120">
        <v>1772</v>
      </c>
      <c r="AE501" s="120">
        <v>-9999</v>
      </c>
      <c r="AF501" s="120">
        <v>-9999</v>
      </c>
      <c r="AG501" s="120">
        <v>-9999</v>
      </c>
    </row>
    <row r="502" spans="1:33" x14ac:dyDescent="0.25">
      <c r="A502" s="120">
        <v>501</v>
      </c>
      <c r="B502" s="120" t="b">
        <v>0</v>
      </c>
      <c r="C502" s="120">
        <v>0</v>
      </c>
      <c r="D502" s="61">
        <v>1</v>
      </c>
      <c r="E502" s="120">
        <v>1</v>
      </c>
      <c r="F502" s="120" t="s">
        <v>180</v>
      </c>
      <c r="G502" s="55">
        <v>250</v>
      </c>
      <c r="H502" s="120">
        <v>825</v>
      </c>
      <c r="I502" s="57">
        <v>165</v>
      </c>
      <c r="J502" s="120">
        <v>175</v>
      </c>
      <c r="K502" s="120">
        <v>1</v>
      </c>
      <c r="L502" s="120">
        <v>50</v>
      </c>
      <c r="M502" s="120">
        <v>15</v>
      </c>
      <c r="N502" s="120">
        <v>40</v>
      </c>
      <c r="O502" s="120">
        <v>2</v>
      </c>
      <c r="P502" s="120">
        <v>5</v>
      </c>
      <c r="Q502" s="120">
        <v>262.5</v>
      </c>
      <c r="R502" s="120">
        <v>209.19999694824199</v>
      </c>
      <c r="S502" s="148">
        <v>25.399999618530298</v>
      </c>
      <c r="T502" s="120">
        <v>65</v>
      </c>
      <c r="U502" s="120">
        <v>14</v>
      </c>
      <c r="V502" s="120">
        <v>-9999</v>
      </c>
      <c r="W502" s="120">
        <v>-9999</v>
      </c>
      <c r="X502" s="120">
        <v>-9999</v>
      </c>
      <c r="Y502" s="120">
        <v>-9999</v>
      </c>
      <c r="Z502" s="120">
        <v>-9999</v>
      </c>
      <c r="AA502" s="120">
        <v>68</v>
      </c>
      <c r="AB502" s="120">
        <v>14.5</v>
      </c>
      <c r="AC502" s="120">
        <v>501</v>
      </c>
      <c r="AD502" s="120">
        <v>1773</v>
      </c>
      <c r="AE502" s="120">
        <v>-9999</v>
      </c>
      <c r="AF502" s="120">
        <v>-9999</v>
      </c>
      <c r="AG502" s="120">
        <v>-9999</v>
      </c>
    </row>
    <row r="503" spans="1:33" x14ac:dyDescent="0.25">
      <c r="A503" s="120">
        <v>502</v>
      </c>
      <c r="B503" s="120" t="b">
        <v>0</v>
      </c>
      <c r="C503" s="120">
        <v>0</v>
      </c>
      <c r="D503" s="61">
        <v>1</v>
      </c>
      <c r="E503" s="120">
        <v>1</v>
      </c>
      <c r="F503" s="120" t="s">
        <v>180</v>
      </c>
      <c r="G503" s="55">
        <v>250</v>
      </c>
      <c r="H503" s="120">
        <v>864</v>
      </c>
      <c r="I503" s="57">
        <v>165</v>
      </c>
      <c r="J503" s="120">
        <v>165</v>
      </c>
      <c r="K503" s="120">
        <v>2</v>
      </c>
      <c r="L503" s="120">
        <v>50</v>
      </c>
      <c r="M503" s="120">
        <v>15</v>
      </c>
      <c r="N503" s="120">
        <v>40</v>
      </c>
      <c r="O503" s="120">
        <v>2</v>
      </c>
      <c r="P503" s="120">
        <v>20</v>
      </c>
      <c r="Q503" s="120">
        <v>275</v>
      </c>
      <c r="R503" s="120">
        <v>219.19999694824199</v>
      </c>
      <c r="S503" s="148">
        <v>25.399999618530298</v>
      </c>
      <c r="T503" s="120">
        <v>65</v>
      </c>
      <c r="U503" s="120">
        <v>14</v>
      </c>
      <c r="V503" s="120">
        <v>-9999</v>
      </c>
      <c r="W503" s="120">
        <v>-9999</v>
      </c>
      <c r="X503" s="120">
        <v>-9999</v>
      </c>
      <c r="Y503" s="120">
        <v>-9999</v>
      </c>
      <c r="Z503" s="120">
        <v>-9999</v>
      </c>
      <c r="AA503" s="120">
        <v>68</v>
      </c>
      <c r="AB503" s="120">
        <v>14.5</v>
      </c>
      <c r="AC503" s="120">
        <v>502</v>
      </c>
      <c r="AD503" s="120">
        <v>1774</v>
      </c>
      <c r="AE503" s="120">
        <v>-9999</v>
      </c>
      <c r="AF503" s="120">
        <v>-9999</v>
      </c>
      <c r="AG503" s="120">
        <v>-9999</v>
      </c>
    </row>
    <row r="504" spans="1:33" x14ac:dyDescent="0.25">
      <c r="A504" s="120">
        <v>503</v>
      </c>
      <c r="B504" s="120" t="b">
        <v>0</v>
      </c>
      <c r="C504" s="120">
        <v>0</v>
      </c>
      <c r="D504" s="61">
        <v>1</v>
      </c>
      <c r="E504" s="120">
        <v>1</v>
      </c>
      <c r="F504" s="120" t="s">
        <v>180</v>
      </c>
      <c r="G504" s="55">
        <v>250</v>
      </c>
      <c r="H504" s="120">
        <v>864</v>
      </c>
      <c r="I504" s="57">
        <v>165</v>
      </c>
      <c r="J504" s="120">
        <v>165</v>
      </c>
      <c r="K504" s="120">
        <v>3</v>
      </c>
      <c r="L504" s="120">
        <v>40</v>
      </c>
      <c r="M504" s="120">
        <v>15</v>
      </c>
      <c r="N504" s="120">
        <v>40</v>
      </c>
      <c r="O504" s="120">
        <v>2</v>
      </c>
      <c r="P504" s="120">
        <v>16.666999816894499</v>
      </c>
      <c r="Q504" s="120">
        <v>275</v>
      </c>
      <c r="R504" s="120">
        <v>219.19999694824199</v>
      </c>
      <c r="S504" s="148">
        <v>25.399999618530298</v>
      </c>
      <c r="T504" s="120">
        <v>57</v>
      </c>
      <c r="U504" s="120">
        <v>14</v>
      </c>
      <c r="V504" s="120">
        <v>-9999</v>
      </c>
      <c r="W504" s="120">
        <v>-9999</v>
      </c>
      <c r="X504" s="120">
        <v>-9999</v>
      </c>
      <c r="Y504" s="120">
        <v>-9999</v>
      </c>
      <c r="Z504" s="120">
        <v>-9999</v>
      </c>
      <c r="AA504" s="120">
        <v>68</v>
      </c>
      <c r="AB504" s="120">
        <v>14.5</v>
      </c>
      <c r="AC504" s="120">
        <v>503</v>
      </c>
      <c r="AD504" s="120">
        <v>1775</v>
      </c>
      <c r="AE504" s="120">
        <v>-9999</v>
      </c>
      <c r="AF504" s="120">
        <v>-9999</v>
      </c>
      <c r="AG504" s="120">
        <v>-9999</v>
      </c>
    </row>
    <row r="505" spans="1:33" x14ac:dyDescent="0.25">
      <c r="A505" s="120">
        <v>504</v>
      </c>
      <c r="B505" s="120" t="b">
        <v>0</v>
      </c>
      <c r="C505" s="120">
        <v>0</v>
      </c>
      <c r="D505" s="61">
        <v>1</v>
      </c>
      <c r="E505" s="120">
        <v>1</v>
      </c>
      <c r="F505" s="120" t="s">
        <v>180</v>
      </c>
      <c r="G505" s="55">
        <v>250</v>
      </c>
      <c r="H505" s="120">
        <v>825</v>
      </c>
      <c r="I505" s="57">
        <v>165</v>
      </c>
      <c r="J505" s="120">
        <v>175</v>
      </c>
      <c r="K505" s="120">
        <v>4</v>
      </c>
      <c r="L505" s="120">
        <v>100</v>
      </c>
      <c r="M505" s="120">
        <v>15</v>
      </c>
      <c r="N505" s="120">
        <v>40</v>
      </c>
      <c r="O505" s="120">
        <v>2</v>
      </c>
      <c r="P505" s="120">
        <v>-9999</v>
      </c>
      <c r="Q505" s="120">
        <v>262.5</v>
      </c>
      <c r="R505" s="120">
        <v>209.19999694824199</v>
      </c>
      <c r="S505" s="148">
        <v>25.399999618530298</v>
      </c>
      <c r="T505" s="120">
        <v>-9999</v>
      </c>
      <c r="U505" s="120">
        <v>14</v>
      </c>
      <c r="V505" s="120">
        <v>-9999</v>
      </c>
      <c r="W505" s="120">
        <v>-9999</v>
      </c>
      <c r="X505" s="120">
        <v>-9999</v>
      </c>
      <c r="Y505" s="120">
        <v>-9999</v>
      </c>
      <c r="Z505" s="120">
        <v>-9999</v>
      </c>
      <c r="AA505" s="120">
        <v>68</v>
      </c>
      <c r="AB505" s="120">
        <v>14.5</v>
      </c>
      <c r="AC505" s="120">
        <v>504</v>
      </c>
      <c r="AD505" s="120">
        <v>1776</v>
      </c>
      <c r="AE505" s="120">
        <v>-9999</v>
      </c>
      <c r="AF505" s="120">
        <v>-9999</v>
      </c>
      <c r="AG505" s="120">
        <v>-9999</v>
      </c>
    </row>
    <row r="506" spans="1:33" x14ac:dyDescent="0.25">
      <c r="A506" s="120">
        <v>505</v>
      </c>
      <c r="B506" s="120" t="b">
        <v>0</v>
      </c>
      <c r="C506" s="120">
        <v>0</v>
      </c>
      <c r="D506" s="61">
        <v>1</v>
      </c>
      <c r="E506" s="120">
        <v>1</v>
      </c>
      <c r="F506" s="120" t="s">
        <v>180</v>
      </c>
      <c r="G506" s="55">
        <v>250</v>
      </c>
      <c r="H506" s="120">
        <v>825</v>
      </c>
      <c r="I506" s="57">
        <v>165</v>
      </c>
      <c r="J506" s="120">
        <v>175</v>
      </c>
      <c r="K506" s="120">
        <v>11</v>
      </c>
      <c r="L506" s="120">
        <v>60</v>
      </c>
      <c r="M506" s="120">
        <v>15</v>
      </c>
      <c r="N506" s="120">
        <v>40</v>
      </c>
      <c r="O506" s="120">
        <v>2</v>
      </c>
      <c r="P506" s="120">
        <v>25</v>
      </c>
      <c r="Q506" s="120">
        <v>262.5</v>
      </c>
      <c r="R506" s="120">
        <v>209.19999694824199</v>
      </c>
      <c r="S506" s="148">
        <v>25.399999618530298</v>
      </c>
      <c r="T506" s="120">
        <v>70</v>
      </c>
      <c r="U506" s="120">
        <v>14</v>
      </c>
      <c r="V506" s="120">
        <v>-9999</v>
      </c>
      <c r="W506" s="120">
        <v>-9999</v>
      </c>
      <c r="X506" s="120">
        <v>-9999</v>
      </c>
      <c r="Y506" s="120">
        <v>-9999</v>
      </c>
      <c r="Z506" s="120">
        <v>-9999</v>
      </c>
      <c r="AA506" s="120">
        <v>68</v>
      </c>
      <c r="AB506" s="120">
        <v>14.5</v>
      </c>
      <c r="AC506" s="120">
        <v>505</v>
      </c>
      <c r="AD506" s="120">
        <v>1777</v>
      </c>
      <c r="AE506" s="120">
        <v>-9999</v>
      </c>
      <c r="AF506" s="120">
        <v>-9999</v>
      </c>
      <c r="AG506" s="120">
        <v>-9999</v>
      </c>
    </row>
    <row r="507" spans="1:33" x14ac:dyDescent="0.25">
      <c r="A507" s="120">
        <v>506</v>
      </c>
      <c r="B507" s="120" t="b">
        <v>0</v>
      </c>
      <c r="C507" s="120">
        <v>0</v>
      </c>
      <c r="D507" s="61">
        <v>1</v>
      </c>
      <c r="E507" s="120">
        <v>1</v>
      </c>
      <c r="F507" s="120" t="s">
        <v>181</v>
      </c>
      <c r="G507" s="55">
        <v>300</v>
      </c>
      <c r="H507" s="120">
        <v>1417</v>
      </c>
      <c r="I507" s="57">
        <v>100</v>
      </c>
      <c r="J507" s="120">
        <v>110</v>
      </c>
      <c r="K507" s="120">
        <v>1</v>
      </c>
      <c r="L507" s="120">
        <v>50</v>
      </c>
      <c r="M507" s="120">
        <v>15</v>
      </c>
      <c r="N507" s="120">
        <v>40</v>
      </c>
      <c r="O507" s="120">
        <v>2</v>
      </c>
      <c r="P507" s="120">
        <v>5</v>
      </c>
      <c r="Q507" s="120">
        <v>315</v>
      </c>
      <c r="R507" s="120">
        <v>249.69999694824199</v>
      </c>
      <c r="S507" s="148">
        <v>17.600000381469702</v>
      </c>
      <c r="T507" s="120">
        <v>65</v>
      </c>
      <c r="U507" s="120">
        <v>16</v>
      </c>
      <c r="V507" s="120">
        <v>-9999</v>
      </c>
      <c r="W507" s="120">
        <v>-9999</v>
      </c>
      <c r="X507" s="120">
        <v>-9999</v>
      </c>
      <c r="Y507" s="120">
        <v>-9999</v>
      </c>
      <c r="Z507" s="120">
        <v>-9999</v>
      </c>
      <c r="AA507" s="120">
        <v>68</v>
      </c>
      <c r="AB507" s="120">
        <v>14.5</v>
      </c>
      <c r="AC507" s="120">
        <v>506</v>
      </c>
      <c r="AD507" s="120">
        <v>1778</v>
      </c>
      <c r="AE507" s="120">
        <v>-9999</v>
      </c>
      <c r="AF507" s="120">
        <v>-9999</v>
      </c>
      <c r="AG507" s="120">
        <v>-9999</v>
      </c>
    </row>
    <row r="508" spans="1:33" x14ac:dyDescent="0.25">
      <c r="A508" s="120">
        <v>507</v>
      </c>
      <c r="B508" s="120" t="b">
        <v>0</v>
      </c>
      <c r="C508" s="120">
        <v>0</v>
      </c>
      <c r="D508" s="61">
        <v>1</v>
      </c>
      <c r="E508" s="120">
        <v>1</v>
      </c>
      <c r="F508" s="120" t="s">
        <v>181</v>
      </c>
      <c r="G508" s="55">
        <v>300</v>
      </c>
      <c r="H508" s="120">
        <v>1485</v>
      </c>
      <c r="I508" s="57">
        <v>100</v>
      </c>
      <c r="J508" s="120">
        <v>100</v>
      </c>
      <c r="K508" s="120">
        <v>2</v>
      </c>
      <c r="L508" s="120">
        <v>50</v>
      </c>
      <c r="M508" s="120">
        <v>15</v>
      </c>
      <c r="N508" s="120">
        <v>40</v>
      </c>
      <c r="O508" s="120">
        <v>2</v>
      </c>
      <c r="P508" s="120">
        <v>20</v>
      </c>
      <c r="Q508" s="120">
        <v>330</v>
      </c>
      <c r="R508" s="120">
        <v>261.60000610351602</v>
      </c>
      <c r="S508" s="148">
        <v>17.600000381469702</v>
      </c>
      <c r="T508" s="120">
        <v>65</v>
      </c>
      <c r="U508" s="120">
        <v>16</v>
      </c>
      <c r="V508" s="120">
        <v>-9999</v>
      </c>
      <c r="W508" s="120">
        <v>-9999</v>
      </c>
      <c r="X508" s="120">
        <v>-9999</v>
      </c>
      <c r="Y508" s="120">
        <v>-9999</v>
      </c>
      <c r="Z508" s="120">
        <v>-9999</v>
      </c>
      <c r="AA508" s="120">
        <v>68</v>
      </c>
      <c r="AB508" s="120">
        <v>14.5</v>
      </c>
      <c r="AC508" s="120">
        <v>507</v>
      </c>
      <c r="AD508" s="120">
        <v>1779</v>
      </c>
      <c r="AE508" s="120">
        <v>-9999</v>
      </c>
      <c r="AF508" s="120">
        <v>-9999</v>
      </c>
      <c r="AG508" s="120">
        <v>-9999</v>
      </c>
    </row>
    <row r="509" spans="1:33" x14ac:dyDescent="0.25">
      <c r="A509" s="120">
        <v>508</v>
      </c>
      <c r="B509" s="120" t="b">
        <v>0</v>
      </c>
      <c r="C509" s="120">
        <v>0</v>
      </c>
      <c r="D509" s="61">
        <v>1</v>
      </c>
      <c r="E509" s="120">
        <v>1</v>
      </c>
      <c r="F509" s="120" t="s">
        <v>181</v>
      </c>
      <c r="G509" s="55">
        <v>300</v>
      </c>
      <c r="H509" s="120">
        <v>1485</v>
      </c>
      <c r="I509" s="57">
        <v>100</v>
      </c>
      <c r="J509" s="120">
        <v>100</v>
      </c>
      <c r="K509" s="120">
        <v>3</v>
      </c>
      <c r="L509" s="120">
        <v>40</v>
      </c>
      <c r="M509" s="120">
        <v>15</v>
      </c>
      <c r="N509" s="120">
        <v>40</v>
      </c>
      <c r="O509" s="120">
        <v>2</v>
      </c>
      <c r="P509" s="120">
        <v>16.666999816894499</v>
      </c>
      <c r="Q509" s="120">
        <v>330</v>
      </c>
      <c r="R509" s="120">
        <v>261.60000610351602</v>
      </c>
      <c r="S509" s="148">
        <v>17.600000381469702</v>
      </c>
      <c r="T509" s="120">
        <v>57</v>
      </c>
      <c r="U509" s="120">
        <v>16</v>
      </c>
      <c r="V509" s="120">
        <v>-9999</v>
      </c>
      <c r="W509" s="120">
        <v>-9999</v>
      </c>
      <c r="X509" s="120">
        <v>-9999</v>
      </c>
      <c r="Y509" s="120">
        <v>-9999</v>
      </c>
      <c r="Z509" s="120">
        <v>-9999</v>
      </c>
      <c r="AA509" s="120">
        <v>68</v>
      </c>
      <c r="AB509" s="120">
        <v>14.5</v>
      </c>
      <c r="AC509" s="120">
        <v>508</v>
      </c>
      <c r="AD509" s="120">
        <v>1780</v>
      </c>
      <c r="AE509" s="120">
        <v>-9999</v>
      </c>
      <c r="AF509" s="120">
        <v>-9999</v>
      </c>
      <c r="AG509" s="120">
        <v>-9999</v>
      </c>
    </row>
    <row r="510" spans="1:33" x14ac:dyDescent="0.25">
      <c r="A510" s="120">
        <v>509</v>
      </c>
      <c r="B510" s="120" t="b">
        <v>0</v>
      </c>
      <c r="C510" s="120">
        <v>0</v>
      </c>
      <c r="D510" s="61">
        <v>1</v>
      </c>
      <c r="E510" s="120">
        <v>1</v>
      </c>
      <c r="F510" s="120" t="s">
        <v>181</v>
      </c>
      <c r="G510" s="55">
        <v>300</v>
      </c>
      <c r="H510" s="120">
        <v>1417</v>
      </c>
      <c r="I510" s="57">
        <v>100</v>
      </c>
      <c r="J510" s="120">
        <v>110</v>
      </c>
      <c r="K510" s="120">
        <v>4</v>
      </c>
      <c r="L510" s="120">
        <v>100</v>
      </c>
      <c r="M510" s="120">
        <v>15</v>
      </c>
      <c r="N510" s="120">
        <v>40</v>
      </c>
      <c r="O510" s="120">
        <v>2</v>
      </c>
      <c r="P510" s="120">
        <v>-9999</v>
      </c>
      <c r="Q510" s="120">
        <v>315</v>
      </c>
      <c r="R510" s="120">
        <v>249.69999694824199</v>
      </c>
      <c r="S510" s="148">
        <v>17.600000381469702</v>
      </c>
      <c r="T510" s="120">
        <v>-9999</v>
      </c>
      <c r="U510" s="120">
        <v>16</v>
      </c>
      <c r="V510" s="120">
        <v>-9999</v>
      </c>
      <c r="W510" s="120">
        <v>-9999</v>
      </c>
      <c r="X510" s="120">
        <v>-9999</v>
      </c>
      <c r="Y510" s="120">
        <v>-9999</v>
      </c>
      <c r="Z510" s="120">
        <v>-9999</v>
      </c>
      <c r="AA510" s="120">
        <v>68</v>
      </c>
      <c r="AB510" s="120">
        <v>14.5</v>
      </c>
      <c r="AC510" s="120">
        <v>509</v>
      </c>
      <c r="AD510" s="120">
        <v>1781</v>
      </c>
      <c r="AE510" s="120">
        <v>-9999</v>
      </c>
      <c r="AF510" s="120">
        <v>-9999</v>
      </c>
      <c r="AG510" s="120">
        <v>-9999</v>
      </c>
    </row>
    <row r="511" spans="1:33" x14ac:dyDescent="0.25">
      <c r="A511" s="120">
        <v>510</v>
      </c>
      <c r="B511" s="120" t="b">
        <v>0</v>
      </c>
      <c r="C511" s="120">
        <v>0</v>
      </c>
      <c r="D511" s="61">
        <v>1</v>
      </c>
      <c r="E511" s="120">
        <v>1</v>
      </c>
      <c r="F511" s="120" t="s">
        <v>181</v>
      </c>
      <c r="G511" s="55">
        <v>300</v>
      </c>
      <c r="H511" s="120">
        <v>1417</v>
      </c>
      <c r="I511" s="57">
        <v>100</v>
      </c>
      <c r="J511" s="120">
        <v>110</v>
      </c>
      <c r="K511" s="120">
        <v>11</v>
      </c>
      <c r="L511" s="120">
        <v>60</v>
      </c>
      <c r="M511" s="120">
        <v>15</v>
      </c>
      <c r="N511" s="120">
        <v>40</v>
      </c>
      <c r="O511" s="120">
        <v>2</v>
      </c>
      <c r="P511" s="120">
        <v>25</v>
      </c>
      <c r="Q511" s="120">
        <v>315</v>
      </c>
      <c r="R511" s="120">
        <v>249.69999694824199</v>
      </c>
      <c r="S511" s="148">
        <v>17.600000381469702</v>
      </c>
      <c r="T511" s="120">
        <v>70</v>
      </c>
      <c r="U511" s="120">
        <v>16</v>
      </c>
      <c r="V511" s="120">
        <v>-9999</v>
      </c>
      <c r="W511" s="120">
        <v>-9999</v>
      </c>
      <c r="X511" s="120">
        <v>-9999</v>
      </c>
      <c r="Y511" s="120">
        <v>-9999</v>
      </c>
      <c r="Z511" s="120">
        <v>-9999</v>
      </c>
      <c r="AA511" s="120">
        <v>68</v>
      </c>
      <c r="AB511" s="120">
        <v>14.5</v>
      </c>
      <c r="AC511" s="120">
        <v>510</v>
      </c>
      <c r="AD511" s="120">
        <v>1782</v>
      </c>
      <c r="AE511" s="120">
        <v>-9999</v>
      </c>
      <c r="AF511" s="120">
        <v>-9999</v>
      </c>
      <c r="AG511" s="120">
        <v>-9999</v>
      </c>
    </row>
    <row r="512" spans="1:33" x14ac:dyDescent="0.25">
      <c r="A512" s="120">
        <v>511</v>
      </c>
      <c r="B512" s="120" t="b">
        <v>0</v>
      </c>
      <c r="C512" s="120">
        <v>0</v>
      </c>
      <c r="D512" s="61">
        <v>1</v>
      </c>
      <c r="E512" s="120">
        <v>1</v>
      </c>
      <c r="F512" s="120" t="s">
        <v>181</v>
      </c>
      <c r="G512" s="55">
        <v>300</v>
      </c>
      <c r="H512" s="120">
        <v>1408</v>
      </c>
      <c r="I512" s="57">
        <v>110</v>
      </c>
      <c r="J512" s="120">
        <v>120</v>
      </c>
      <c r="K512" s="120">
        <v>1</v>
      </c>
      <c r="L512" s="120">
        <v>50</v>
      </c>
      <c r="M512" s="120">
        <v>15</v>
      </c>
      <c r="N512" s="120">
        <v>40</v>
      </c>
      <c r="O512" s="120">
        <v>2</v>
      </c>
      <c r="P512" s="120">
        <v>5</v>
      </c>
      <c r="Q512" s="120">
        <v>315</v>
      </c>
      <c r="R512" s="120">
        <v>249.69999694824199</v>
      </c>
      <c r="S512" s="148">
        <v>17.700000762939499</v>
      </c>
      <c r="T512" s="120">
        <v>65</v>
      </c>
      <c r="U512" s="120">
        <v>15</v>
      </c>
      <c r="V512" s="120">
        <v>-9999</v>
      </c>
      <c r="W512" s="120">
        <v>-9999</v>
      </c>
      <c r="X512" s="120">
        <v>-9999</v>
      </c>
      <c r="Y512" s="120">
        <v>-9999</v>
      </c>
      <c r="Z512" s="120">
        <v>-9999</v>
      </c>
      <c r="AA512" s="120">
        <v>68</v>
      </c>
      <c r="AB512" s="120">
        <v>14.5</v>
      </c>
      <c r="AC512" s="120">
        <v>511</v>
      </c>
      <c r="AD512" s="120">
        <v>1783</v>
      </c>
      <c r="AE512" s="120">
        <v>-9999</v>
      </c>
      <c r="AF512" s="120">
        <v>-9999</v>
      </c>
      <c r="AG512" s="120">
        <v>-9999</v>
      </c>
    </row>
    <row r="513" spans="1:33" x14ac:dyDescent="0.25">
      <c r="A513" s="120">
        <v>512</v>
      </c>
      <c r="B513" s="120" t="b">
        <v>0</v>
      </c>
      <c r="C513" s="120">
        <v>0</v>
      </c>
      <c r="D513" s="61">
        <v>1</v>
      </c>
      <c r="E513" s="120">
        <v>1</v>
      </c>
      <c r="F513" s="120" t="s">
        <v>181</v>
      </c>
      <c r="G513" s="55">
        <v>300</v>
      </c>
      <c r="H513" s="120">
        <v>1475</v>
      </c>
      <c r="I513" s="57">
        <v>110</v>
      </c>
      <c r="J513" s="120">
        <v>110</v>
      </c>
      <c r="K513" s="120">
        <v>2</v>
      </c>
      <c r="L513" s="120">
        <v>50</v>
      </c>
      <c r="M513" s="120">
        <v>15</v>
      </c>
      <c r="N513" s="120">
        <v>40</v>
      </c>
      <c r="O513" s="120">
        <v>2</v>
      </c>
      <c r="P513" s="120">
        <v>20</v>
      </c>
      <c r="Q513" s="120">
        <v>330</v>
      </c>
      <c r="R513" s="120">
        <v>261.60000610351602</v>
      </c>
      <c r="S513" s="148">
        <v>17.700000762939499</v>
      </c>
      <c r="T513" s="120">
        <v>65</v>
      </c>
      <c r="U513" s="120">
        <v>15</v>
      </c>
      <c r="V513" s="120">
        <v>-9999</v>
      </c>
      <c r="W513" s="120">
        <v>-9999</v>
      </c>
      <c r="X513" s="120">
        <v>-9999</v>
      </c>
      <c r="Y513" s="120">
        <v>-9999</v>
      </c>
      <c r="Z513" s="120">
        <v>-9999</v>
      </c>
      <c r="AA513" s="120">
        <v>68</v>
      </c>
      <c r="AB513" s="120">
        <v>14.5</v>
      </c>
      <c r="AC513" s="120">
        <v>512</v>
      </c>
      <c r="AD513" s="120">
        <v>1784</v>
      </c>
      <c r="AE513" s="120">
        <v>-9999</v>
      </c>
      <c r="AF513" s="120">
        <v>-9999</v>
      </c>
      <c r="AG513" s="120">
        <v>-9999</v>
      </c>
    </row>
    <row r="514" spans="1:33" x14ac:dyDescent="0.25">
      <c r="A514" s="120">
        <v>513</v>
      </c>
      <c r="B514" s="120" t="b">
        <v>0</v>
      </c>
      <c r="C514" s="120">
        <v>0</v>
      </c>
      <c r="D514" s="61">
        <v>1</v>
      </c>
      <c r="E514" s="120">
        <v>1</v>
      </c>
      <c r="F514" s="120" t="s">
        <v>181</v>
      </c>
      <c r="G514" s="55">
        <v>300</v>
      </c>
      <c r="H514" s="120">
        <v>1475</v>
      </c>
      <c r="I514" s="57">
        <v>110</v>
      </c>
      <c r="J514" s="120">
        <v>110</v>
      </c>
      <c r="K514" s="120">
        <v>3</v>
      </c>
      <c r="L514" s="120">
        <v>40</v>
      </c>
      <c r="M514" s="120">
        <v>15</v>
      </c>
      <c r="N514" s="120">
        <v>40</v>
      </c>
      <c r="O514" s="120">
        <v>2</v>
      </c>
      <c r="P514" s="120">
        <v>16.666999816894499</v>
      </c>
      <c r="Q514" s="120">
        <v>330</v>
      </c>
      <c r="R514" s="120">
        <v>261.60000610351602</v>
      </c>
      <c r="S514" s="148">
        <v>17.700000762939499</v>
      </c>
      <c r="T514" s="120">
        <v>57</v>
      </c>
      <c r="U514" s="120">
        <v>15</v>
      </c>
      <c r="V514" s="120">
        <v>-9999</v>
      </c>
      <c r="W514" s="120">
        <v>-9999</v>
      </c>
      <c r="X514" s="120">
        <v>-9999</v>
      </c>
      <c r="Y514" s="120">
        <v>-9999</v>
      </c>
      <c r="Z514" s="120">
        <v>-9999</v>
      </c>
      <c r="AA514" s="120">
        <v>68</v>
      </c>
      <c r="AB514" s="120">
        <v>14.5</v>
      </c>
      <c r="AC514" s="120">
        <v>513</v>
      </c>
      <c r="AD514" s="120">
        <v>1785</v>
      </c>
      <c r="AE514" s="120">
        <v>-9999</v>
      </c>
      <c r="AF514" s="120">
        <v>-9999</v>
      </c>
      <c r="AG514" s="120">
        <v>-9999</v>
      </c>
    </row>
    <row r="515" spans="1:33" x14ac:dyDescent="0.25">
      <c r="A515" s="120">
        <v>514</v>
      </c>
      <c r="B515" s="120" t="b">
        <v>0</v>
      </c>
      <c r="C515" s="120">
        <v>0</v>
      </c>
      <c r="D515" s="61">
        <v>1</v>
      </c>
      <c r="E515" s="120">
        <v>1</v>
      </c>
      <c r="F515" s="120" t="s">
        <v>181</v>
      </c>
      <c r="G515" s="55">
        <v>300</v>
      </c>
      <c r="H515" s="120">
        <v>1408</v>
      </c>
      <c r="I515" s="57">
        <v>110</v>
      </c>
      <c r="J515" s="120">
        <v>120</v>
      </c>
      <c r="K515" s="120">
        <v>4</v>
      </c>
      <c r="L515" s="120">
        <v>100</v>
      </c>
      <c r="M515" s="120">
        <v>15</v>
      </c>
      <c r="N515" s="120">
        <v>40</v>
      </c>
      <c r="O515" s="120">
        <v>2</v>
      </c>
      <c r="P515" s="120">
        <v>-9999</v>
      </c>
      <c r="Q515" s="120">
        <v>315</v>
      </c>
      <c r="R515" s="120">
        <v>249.69999694824199</v>
      </c>
      <c r="S515" s="148">
        <v>17.700000762939499</v>
      </c>
      <c r="T515" s="120">
        <v>-9999</v>
      </c>
      <c r="U515" s="120">
        <v>15</v>
      </c>
      <c r="V515" s="120">
        <v>-9999</v>
      </c>
      <c r="W515" s="120">
        <v>-9999</v>
      </c>
      <c r="X515" s="120">
        <v>-9999</v>
      </c>
      <c r="Y515" s="120">
        <v>-9999</v>
      </c>
      <c r="Z515" s="120">
        <v>-9999</v>
      </c>
      <c r="AA515" s="120">
        <v>68</v>
      </c>
      <c r="AB515" s="120">
        <v>14.5</v>
      </c>
      <c r="AC515" s="120">
        <v>514</v>
      </c>
      <c r="AD515" s="120">
        <v>1786</v>
      </c>
      <c r="AE515" s="120">
        <v>-9999</v>
      </c>
      <c r="AF515" s="120">
        <v>-9999</v>
      </c>
      <c r="AG515" s="120">
        <v>-9999</v>
      </c>
    </row>
    <row r="516" spans="1:33" x14ac:dyDescent="0.25">
      <c r="A516" s="120">
        <v>515</v>
      </c>
      <c r="B516" s="120" t="b">
        <v>0</v>
      </c>
      <c r="C516" s="120">
        <v>0</v>
      </c>
      <c r="D516" s="61">
        <v>1</v>
      </c>
      <c r="E516" s="120">
        <v>1</v>
      </c>
      <c r="F516" s="120" t="s">
        <v>181</v>
      </c>
      <c r="G516" s="55">
        <v>300</v>
      </c>
      <c r="H516" s="120">
        <v>1408</v>
      </c>
      <c r="I516" s="57">
        <v>110</v>
      </c>
      <c r="J516" s="120">
        <v>120</v>
      </c>
      <c r="K516" s="120">
        <v>11</v>
      </c>
      <c r="L516" s="120">
        <v>60</v>
      </c>
      <c r="M516" s="120">
        <v>15</v>
      </c>
      <c r="N516" s="120">
        <v>40</v>
      </c>
      <c r="O516" s="120">
        <v>2</v>
      </c>
      <c r="P516" s="120">
        <v>25</v>
      </c>
      <c r="Q516" s="120">
        <v>315</v>
      </c>
      <c r="R516" s="120">
        <v>249.69999694824199</v>
      </c>
      <c r="S516" s="148">
        <v>17.700000762939499</v>
      </c>
      <c r="T516" s="120">
        <v>70</v>
      </c>
      <c r="U516" s="120">
        <v>15</v>
      </c>
      <c r="V516" s="120">
        <v>-9999</v>
      </c>
      <c r="W516" s="120">
        <v>-9999</v>
      </c>
      <c r="X516" s="120">
        <v>-9999</v>
      </c>
      <c r="Y516" s="120">
        <v>-9999</v>
      </c>
      <c r="Z516" s="120">
        <v>-9999</v>
      </c>
      <c r="AA516" s="120">
        <v>68</v>
      </c>
      <c r="AB516" s="120">
        <v>14.5</v>
      </c>
      <c r="AC516" s="120">
        <v>515</v>
      </c>
      <c r="AD516" s="120">
        <v>1787</v>
      </c>
      <c r="AE516" s="120">
        <v>-9999</v>
      </c>
      <c r="AF516" s="120">
        <v>-9999</v>
      </c>
      <c r="AG516" s="120">
        <v>-9999</v>
      </c>
    </row>
    <row r="517" spans="1:33" x14ac:dyDescent="0.25">
      <c r="A517" s="120">
        <v>516</v>
      </c>
      <c r="B517" s="120" t="b">
        <v>0</v>
      </c>
      <c r="C517" s="120">
        <v>0</v>
      </c>
      <c r="D517" s="61">
        <v>1</v>
      </c>
      <c r="E517" s="120">
        <v>1</v>
      </c>
      <c r="F517" s="120" t="s">
        <v>181</v>
      </c>
      <c r="G517" s="55">
        <v>300</v>
      </c>
      <c r="H517" s="120">
        <v>1304</v>
      </c>
      <c r="I517" s="57">
        <v>115</v>
      </c>
      <c r="J517" s="120">
        <v>125</v>
      </c>
      <c r="K517" s="120">
        <v>1</v>
      </c>
      <c r="L517" s="120">
        <v>50</v>
      </c>
      <c r="M517" s="120">
        <v>15</v>
      </c>
      <c r="N517" s="120">
        <v>40</v>
      </c>
      <c r="O517" s="120">
        <v>2</v>
      </c>
      <c r="P517" s="120">
        <v>5</v>
      </c>
      <c r="Q517" s="120">
        <v>315</v>
      </c>
      <c r="R517" s="120">
        <v>249.69999694824199</v>
      </c>
      <c r="S517" s="148">
        <v>19.100000381469702</v>
      </c>
      <c r="T517" s="120">
        <v>65</v>
      </c>
      <c r="U517" s="120">
        <v>15</v>
      </c>
      <c r="V517" s="120">
        <v>-9999</v>
      </c>
      <c r="W517" s="120">
        <v>-9999</v>
      </c>
      <c r="X517" s="120">
        <v>-9999</v>
      </c>
      <c r="Y517" s="120">
        <v>-9999</v>
      </c>
      <c r="Z517" s="120">
        <v>-9999</v>
      </c>
      <c r="AA517" s="120">
        <v>68</v>
      </c>
      <c r="AB517" s="120">
        <v>14.5</v>
      </c>
      <c r="AC517" s="120">
        <v>516</v>
      </c>
      <c r="AD517" s="120">
        <v>1788</v>
      </c>
      <c r="AE517" s="120">
        <v>-9999</v>
      </c>
      <c r="AF517" s="120">
        <v>-9999</v>
      </c>
      <c r="AG517" s="120">
        <v>-9999</v>
      </c>
    </row>
    <row r="518" spans="1:33" x14ac:dyDescent="0.25">
      <c r="A518" s="120">
        <v>517</v>
      </c>
      <c r="B518" s="120" t="b">
        <v>0</v>
      </c>
      <c r="C518" s="120">
        <v>0</v>
      </c>
      <c r="D518" s="61">
        <v>1</v>
      </c>
      <c r="E518" s="120">
        <v>1</v>
      </c>
      <c r="F518" s="120" t="s">
        <v>181</v>
      </c>
      <c r="G518" s="55">
        <v>300</v>
      </c>
      <c r="H518" s="120">
        <v>1367</v>
      </c>
      <c r="I518" s="57">
        <v>115</v>
      </c>
      <c r="J518" s="120">
        <v>115</v>
      </c>
      <c r="K518" s="120">
        <v>2</v>
      </c>
      <c r="L518" s="120">
        <v>50</v>
      </c>
      <c r="M518" s="120">
        <v>15</v>
      </c>
      <c r="N518" s="120">
        <v>40</v>
      </c>
      <c r="O518" s="120">
        <v>2</v>
      </c>
      <c r="P518" s="120">
        <v>20</v>
      </c>
      <c r="Q518" s="120">
        <v>330</v>
      </c>
      <c r="R518" s="120">
        <v>261.60000610351602</v>
      </c>
      <c r="S518" s="148">
        <v>19.100000381469702</v>
      </c>
      <c r="T518" s="120">
        <v>65</v>
      </c>
      <c r="U518" s="120">
        <v>15</v>
      </c>
      <c r="V518" s="120">
        <v>-9999</v>
      </c>
      <c r="W518" s="120">
        <v>-9999</v>
      </c>
      <c r="X518" s="120">
        <v>-9999</v>
      </c>
      <c r="Y518" s="120">
        <v>-9999</v>
      </c>
      <c r="Z518" s="120">
        <v>-9999</v>
      </c>
      <c r="AA518" s="120">
        <v>68</v>
      </c>
      <c r="AB518" s="120">
        <v>14.5</v>
      </c>
      <c r="AC518" s="120">
        <v>517</v>
      </c>
      <c r="AD518" s="120">
        <v>1789</v>
      </c>
      <c r="AE518" s="120">
        <v>-9999</v>
      </c>
      <c r="AF518" s="120">
        <v>-9999</v>
      </c>
      <c r="AG518" s="120">
        <v>-9999</v>
      </c>
    </row>
    <row r="519" spans="1:33" x14ac:dyDescent="0.25">
      <c r="A519" s="120">
        <v>518</v>
      </c>
      <c r="B519" s="120" t="b">
        <v>0</v>
      </c>
      <c r="C519" s="120">
        <v>0</v>
      </c>
      <c r="D519" s="61">
        <v>1</v>
      </c>
      <c r="E519" s="120">
        <v>1</v>
      </c>
      <c r="F519" s="120" t="s">
        <v>181</v>
      </c>
      <c r="G519" s="55">
        <v>300</v>
      </c>
      <c r="H519" s="120">
        <v>1367</v>
      </c>
      <c r="I519" s="57">
        <v>115</v>
      </c>
      <c r="J519" s="120">
        <v>115</v>
      </c>
      <c r="K519" s="120">
        <v>3</v>
      </c>
      <c r="L519" s="120">
        <v>40</v>
      </c>
      <c r="M519" s="120">
        <v>15</v>
      </c>
      <c r="N519" s="120">
        <v>40</v>
      </c>
      <c r="O519" s="120">
        <v>2</v>
      </c>
      <c r="P519" s="120">
        <v>16.666999816894499</v>
      </c>
      <c r="Q519" s="120">
        <v>330</v>
      </c>
      <c r="R519" s="120">
        <v>261.60000610351602</v>
      </c>
      <c r="S519" s="148">
        <v>19.100000381469702</v>
      </c>
      <c r="T519" s="120">
        <v>57</v>
      </c>
      <c r="U519" s="120">
        <v>15</v>
      </c>
      <c r="V519" s="120">
        <v>-9999</v>
      </c>
      <c r="W519" s="120">
        <v>-9999</v>
      </c>
      <c r="X519" s="120">
        <v>-9999</v>
      </c>
      <c r="Y519" s="120">
        <v>-9999</v>
      </c>
      <c r="Z519" s="120">
        <v>-9999</v>
      </c>
      <c r="AA519" s="120">
        <v>68</v>
      </c>
      <c r="AB519" s="120">
        <v>14.5</v>
      </c>
      <c r="AC519" s="120">
        <v>518</v>
      </c>
      <c r="AD519" s="120">
        <v>1790</v>
      </c>
      <c r="AE519" s="120">
        <v>-9999</v>
      </c>
      <c r="AF519" s="120">
        <v>-9999</v>
      </c>
      <c r="AG519" s="120">
        <v>-9999</v>
      </c>
    </row>
    <row r="520" spans="1:33" x14ac:dyDescent="0.25">
      <c r="A520" s="120">
        <v>519</v>
      </c>
      <c r="B520" s="120" t="b">
        <v>0</v>
      </c>
      <c r="C520" s="120">
        <v>0</v>
      </c>
      <c r="D520" s="61">
        <v>1</v>
      </c>
      <c r="E520" s="120">
        <v>1</v>
      </c>
      <c r="F520" s="120" t="s">
        <v>181</v>
      </c>
      <c r="G520" s="55">
        <v>300</v>
      </c>
      <c r="H520" s="120">
        <v>1304</v>
      </c>
      <c r="I520" s="57">
        <v>115</v>
      </c>
      <c r="J520" s="120">
        <v>125</v>
      </c>
      <c r="K520" s="120">
        <v>4</v>
      </c>
      <c r="L520" s="120">
        <v>100</v>
      </c>
      <c r="M520" s="120">
        <v>15</v>
      </c>
      <c r="N520" s="120">
        <v>40</v>
      </c>
      <c r="O520" s="120">
        <v>2</v>
      </c>
      <c r="P520" s="120">
        <v>-9999</v>
      </c>
      <c r="Q520" s="120">
        <v>315</v>
      </c>
      <c r="R520" s="120">
        <v>249.69999694824199</v>
      </c>
      <c r="S520" s="148">
        <v>19.100000381469702</v>
      </c>
      <c r="T520" s="120">
        <v>-9999</v>
      </c>
      <c r="U520" s="120">
        <v>15</v>
      </c>
      <c r="V520" s="120">
        <v>-9999</v>
      </c>
      <c r="W520" s="120">
        <v>-9999</v>
      </c>
      <c r="X520" s="120">
        <v>-9999</v>
      </c>
      <c r="Y520" s="120">
        <v>-9999</v>
      </c>
      <c r="Z520" s="120">
        <v>-9999</v>
      </c>
      <c r="AA520" s="120">
        <v>68</v>
      </c>
      <c r="AB520" s="120">
        <v>14.5</v>
      </c>
      <c r="AC520" s="120">
        <v>519</v>
      </c>
      <c r="AD520" s="120">
        <v>1791</v>
      </c>
      <c r="AE520" s="120">
        <v>-9999</v>
      </c>
      <c r="AF520" s="120">
        <v>-9999</v>
      </c>
      <c r="AG520" s="120">
        <v>-9999</v>
      </c>
    </row>
    <row r="521" spans="1:33" x14ac:dyDescent="0.25">
      <c r="A521" s="120">
        <v>520</v>
      </c>
      <c r="B521" s="120" t="b">
        <v>0</v>
      </c>
      <c r="C521" s="120">
        <v>0</v>
      </c>
      <c r="D521" s="61">
        <v>1</v>
      </c>
      <c r="E521" s="120">
        <v>1</v>
      </c>
      <c r="F521" s="120" t="s">
        <v>181</v>
      </c>
      <c r="G521" s="55">
        <v>300</v>
      </c>
      <c r="H521" s="120">
        <v>1304</v>
      </c>
      <c r="I521" s="57">
        <v>115</v>
      </c>
      <c r="J521" s="120">
        <v>125</v>
      </c>
      <c r="K521" s="120">
        <v>11</v>
      </c>
      <c r="L521" s="120">
        <v>60</v>
      </c>
      <c r="M521" s="120">
        <v>15</v>
      </c>
      <c r="N521" s="120">
        <v>40</v>
      </c>
      <c r="O521" s="120">
        <v>2</v>
      </c>
      <c r="P521" s="120">
        <v>25</v>
      </c>
      <c r="Q521" s="120">
        <v>315</v>
      </c>
      <c r="R521" s="120">
        <v>249.69999694824199</v>
      </c>
      <c r="S521" s="148">
        <v>19.100000381469702</v>
      </c>
      <c r="T521" s="120">
        <v>70</v>
      </c>
      <c r="U521" s="120">
        <v>15</v>
      </c>
      <c r="V521" s="120">
        <v>-9999</v>
      </c>
      <c r="W521" s="120">
        <v>-9999</v>
      </c>
      <c r="X521" s="120">
        <v>-9999</v>
      </c>
      <c r="Y521" s="120">
        <v>-9999</v>
      </c>
      <c r="Z521" s="120">
        <v>-9999</v>
      </c>
      <c r="AA521" s="120">
        <v>68</v>
      </c>
      <c r="AB521" s="120">
        <v>14.5</v>
      </c>
      <c r="AC521" s="120">
        <v>520</v>
      </c>
      <c r="AD521" s="120">
        <v>1792</v>
      </c>
      <c r="AE521" s="120">
        <v>-9999</v>
      </c>
      <c r="AF521" s="120">
        <v>-9999</v>
      </c>
      <c r="AG521" s="120">
        <v>-9999</v>
      </c>
    </row>
    <row r="522" spans="1:33" x14ac:dyDescent="0.25">
      <c r="A522" s="120">
        <v>521</v>
      </c>
      <c r="B522" s="120" t="b">
        <v>0</v>
      </c>
      <c r="C522" s="120">
        <v>0</v>
      </c>
      <c r="D522" s="61">
        <v>1</v>
      </c>
      <c r="E522" s="120">
        <v>1</v>
      </c>
      <c r="F522" s="120" t="s">
        <v>181</v>
      </c>
      <c r="G522" s="55">
        <v>300</v>
      </c>
      <c r="H522" s="120">
        <v>1259</v>
      </c>
      <c r="I522" s="57">
        <v>125</v>
      </c>
      <c r="J522" s="120">
        <v>135</v>
      </c>
      <c r="K522" s="120">
        <v>1</v>
      </c>
      <c r="L522" s="120">
        <v>50</v>
      </c>
      <c r="M522" s="120">
        <v>15</v>
      </c>
      <c r="N522" s="120">
        <v>40</v>
      </c>
      <c r="O522" s="120">
        <v>2</v>
      </c>
      <c r="P522" s="120">
        <v>5</v>
      </c>
      <c r="Q522" s="120">
        <v>315</v>
      </c>
      <c r="R522" s="120">
        <v>249.69999694824199</v>
      </c>
      <c r="S522" s="148">
        <v>19.799999237060501</v>
      </c>
      <c r="T522" s="120">
        <v>65</v>
      </c>
      <c r="U522" s="120">
        <v>14</v>
      </c>
      <c r="V522" s="120">
        <v>-9999</v>
      </c>
      <c r="W522" s="120">
        <v>-9999</v>
      </c>
      <c r="X522" s="120">
        <v>-9999</v>
      </c>
      <c r="Y522" s="120">
        <v>-9999</v>
      </c>
      <c r="Z522" s="120">
        <v>-9999</v>
      </c>
      <c r="AA522" s="120">
        <v>68</v>
      </c>
      <c r="AB522" s="120">
        <v>14.5</v>
      </c>
      <c r="AC522" s="120">
        <v>521</v>
      </c>
      <c r="AD522" s="120">
        <v>1793</v>
      </c>
      <c r="AE522" s="120">
        <v>-9999</v>
      </c>
      <c r="AF522" s="120">
        <v>-9999</v>
      </c>
      <c r="AG522" s="120">
        <v>-9999</v>
      </c>
    </row>
    <row r="523" spans="1:33" x14ac:dyDescent="0.25">
      <c r="A523" s="120">
        <v>522</v>
      </c>
      <c r="B523" s="120" t="b">
        <v>0</v>
      </c>
      <c r="C523" s="120">
        <v>0</v>
      </c>
      <c r="D523" s="61">
        <v>1</v>
      </c>
      <c r="E523" s="120">
        <v>1</v>
      </c>
      <c r="F523" s="120" t="s">
        <v>181</v>
      </c>
      <c r="G523" s="55">
        <v>300</v>
      </c>
      <c r="H523" s="120">
        <v>1319</v>
      </c>
      <c r="I523" s="57">
        <v>125</v>
      </c>
      <c r="J523" s="120">
        <v>125</v>
      </c>
      <c r="K523" s="120">
        <v>2</v>
      </c>
      <c r="L523" s="120">
        <v>50</v>
      </c>
      <c r="M523" s="120">
        <v>15</v>
      </c>
      <c r="N523" s="120">
        <v>40</v>
      </c>
      <c r="O523" s="120">
        <v>2</v>
      </c>
      <c r="P523" s="120">
        <v>20</v>
      </c>
      <c r="Q523" s="120">
        <v>330</v>
      </c>
      <c r="R523" s="120">
        <v>261.60000610351602</v>
      </c>
      <c r="S523" s="148">
        <v>19.799999237060501</v>
      </c>
      <c r="T523" s="120">
        <v>65</v>
      </c>
      <c r="U523" s="120">
        <v>14</v>
      </c>
      <c r="V523" s="120">
        <v>-9999</v>
      </c>
      <c r="W523" s="120">
        <v>-9999</v>
      </c>
      <c r="X523" s="120">
        <v>-9999</v>
      </c>
      <c r="Y523" s="120">
        <v>-9999</v>
      </c>
      <c r="Z523" s="120">
        <v>-9999</v>
      </c>
      <c r="AA523" s="120">
        <v>68</v>
      </c>
      <c r="AB523" s="120">
        <v>14.5</v>
      </c>
      <c r="AC523" s="120">
        <v>522</v>
      </c>
      <c r="AD523" s="120">
        <v>1794</v>
      </c>
      <c r="AE523" s="120">
        <v>-9999</v>
      </c>
      <c r="AF523" s="120">
        <v>-9999</v>
      </c>
      <c r="AG523" s="120">
        <v>-9999</v>
      </c>
    </row>
    <row r="524" spans="1:33" x14ac:dyDescent="0.25">
      <c r="A524" s="120">
        <v>523</v>
      </c>
      <c r="B524" s="120" t="b">
        <v>0</v>
      </c>
      <c r="C524" s="120">
        <v>0</v>
      </c>
      <c r="D524" s="61">
        <v>1</v>
      </c>
      <c r="E524" s="120">
        <v>1</v>
      </c>
      <c r="F524" s="120" t="s">
        <v>181</v>
      </c>
      <c r="G524" s="55">
        <v>300</v>
      </c>
      <c r="H524" s="120">
        <v>1319</v>
      </c>
      <c r="I524" s="57">
        <v>125</v>
      </c>
      <c r="J524" s="120">
        <v>125</v>
      </c>
      <c r="K524" s="120">
        <v>3</v>
      </c>
      <c r="L524" s="120">
        <v>40</v>
      </c>
      <c r="M524" s="120">
        <v>15</v>
      </c>
      <c r="N524" s="120">
        <v>40</v>
      </c>
      <c r="O524" s="120">
        <v>2</v>
      </c>
      <c r="P524" s="120">
        <v>16.666999816894499</v>
      </c>
      <c r="Q524" s="120">
        <v>330</v>
      </c>
      <c r="R524" s="120">
        <v>261.60000610351602</v>
      </c>
      <c r="S524" s="148">
        <v>19.799999237060501</v>
      </c>
      <c r="T524" s="120">
        <v>57</v>
      </c>
      <c r="U524" s="120">
        <v>14</v>
      </c>
      <c r="V524" s="120">
        <v>-9999</v>
      </c>
      <c r="W524" s="120">
        <v>-9999</v>
      </c>
      <c r="X524" s="120">
        <v>-9999</v>
      </c>
      <c r="Y524" s="120">
        <v>-9999</v>
      </c>
      <c r="Z524" s="120">
        <v>-9999</v>
      </c>
      <c r="AA524" s="120">
        <v>68</v>
      </c>
      <c r="AB524" s="120">
        <v>14.5</v>
      </c>
      <c r="AC524" s="120">
        <v>523</v>
      </c>
      <c r="AD524" s="120">
        <v>1795</v>
      </c>
      <c r="AE524" s="120">
        <v>-9999</v>
      </c>
      <c r="AF524" s="120">
        <v>-9999</v>
      </c>
      <c r="AG524" s="120">
        <v>-9999</v>
      </c>
    </row>
    <row r="525" spans="1:33" x14ac:dyDescent="0.25">
      <c r="A525" s="120">
        <v>524</v>
      </c>
      <c r="B525" s="120" t="b">
        <v>0</v>
      </c>
      <c r="C525" s="120">
        <v>0</v>
      </c>
      <c r="D525" s="61">
        <v>1</v>
      </c>
      <c r="E525" s="120">
        <v>1</v>
      </c>
      <c r="F525" s="120" t="s">
        <v>181</v>
      </c>
      <c r="G525" s="55">
        <v>300</v>
      </c>
      <c r="H525" s="120">
        <v>1259</v>
      </c>
      <c r="I525" s="57">
        <v>125</v>
      </c>
      <c r="J525" s="120">
        <v>135</v>
      </c>
      <c r="K525" s="120">
        <v>4</v>
      </c>
      <c r="L525" s="120">
        <v>100</v>
      </c>
      <c r="M525" s="120">
        <v>15</v>
      </c>
      <c r="N525" s="120">
        <v>40</v>
      </c>
      <c r="O525" s="120">
        <v>2</v>
      </c>
      <c r="P525" s="120">
        <v>-9999</v>
      </c>
      <c r="Q525" s="120">
        <v>315</v>
      </c>
      <c r="R525" s="120">
        <v>249.69999694824199</v>
      </c>
      <c r="S525" s="148">
        <v>19.799999237060501</v>
      </c>
      <c r="T525" s="120">
        <v>-9999</v>
      </c>
      <c r="U525" s="120">
        <v>14</v>
      </c>
      <c r="V525" s="120">
        <v>-9999</v>
      </c>
      <c r="W525" s="120">
        <v>-9999</v>
      </c>
      <c r="X525" s="120">
        <v>-9999</v>
      </c>
      <c r="Y525" s="120">
        <v>-9999</v>
      </c>
      <c r="Z525" s="120">
        <v>-9999</v>
      </c>
      <c r="AA525" s="120">
        <v>68</v>
      </c>
      <c r="AB525" s="120">
        <v>14.5</v>
      </c>
      <c r="AC525" s="120">
        <v>524</v>
      </c>
      <c r="AD525" s="120">
        <v>1796</v>
      </c>
      <c r="AE525" s="120">
        <v>-9999</v>
      </c>
      <c r="AF525" s="120">
        <v>-9999</v>
      </c>
      <c r="AG525" s="120">
        <v>-9999</v>
      </c>
    </row>
    <row r="526" spans="1:33" x14ac:dyDescent="0.25">
      <c r="A526" s="120">
        <v>525</v>
      </c>
      <c r="B526" s="120" t="b">
        <v>0</v>
      </c>
      <c r="C526" s="120">
        <v>0</v>
      </c>
      <c r="D526" s="61">
        <v>1</v>
      </c>
      <c r="E526" s="120">
        <v>1</v>
      </c>
      <c r="F526" s="120" t="s">
        <v>181</v>
      </c>
      <c r="G526" s="55">
        <v>300</v>
      </c>
      <c r="H526" s="120">
        <v>1259</v>
      </c>
      <c r="I526" s="57">
        <v>125</v>
      </c>
      <c r="J526" s="120">
        <v>135</v>
      </c>
      <c r="K526" s="120">
        <v>11</v>
      </c>
      <c r="L526" s="120">
        <v>60</v>
      </c>
      <c r="M526" s="120">
        <v>15</v>
      </c>
      <c r="N526" s="120">
        <v>40</v>
      </c>
      <c r="O526" s="120">
        <v>2</v>
      </c>
      <c r="P526" s="120">
        <v>25</v>
      </c>
      <c r="Q526" s="120">
        <v>315</v>
      </c>
      <c r="R526" s="120">
        <v>249.69999694824199</v>
      </c>
      <c r="S526" s="148">
        <v>19.799999237060501</v>
      </c>
      <c r="T526" s="120">
        <v>70</v>
      </c>
      <c r="U526" s="120">
        <v>14</v>
      </c>
      <c r="V526" s="120">
        <v>-9999</v>
      </c>
      <c r="W526" s="120">
        <v>-9999</v>
      </c>
      <c r="X526" s="120">
        <v>-9999</v>
      </c>
      <c r="Y526" s="120">
        <v>-9999</v>
      </c>
      <c r="Z526" s="120">
        <v>-9999</v>
      </c>
      <c r="AA526" s="120">
        <v>68</v>
      </c>
      <c r="AB526" s="120">
        <v>14.5</v>
      </c>
      <c r="AC526" s="120">
        <v>525</v>
      </c>
      <c r="AD526" s="120">
        <v>1797</v>
      </c>
      <c r="AE526" s="120">
        <v>-9999</v>
      </c>
      <c r="AF526" s="120">
        <v>-9999</v>
      </c>
      <c r="AG526" s="120">
        <v>-9999</v>
      </c>
    </row>
    <row r="527" spans="1:33" x14ac:dyDescent="0.25">
      <c r="A527" s="120">
        <v>526</v>
      </c>
      <c r="B527" s="120" t="b">
        <v>0</v>
      </c>
      <c r="C527" s="120">
        <v>0</v>
      </c>
      <c r="D527" s="61">
        <v>1</v>
      </c>
      <c r="E527" s="120">
        <v>1</v>
      </c>
      <c r="F527" s="120" t="s">
        <v>181</v>
      </c>
      <c r="G527" s="55">
        <v>300</v>
      </c>
      <c r="H527" s="120">
        <v>1098</v>
      </c>
      <c r="I527" s="57">
        <v>140</v>
      </c>
      <c r="J527" s="120">
        <v>150</v>
      </c>
      <c r="K527" s="120">
        <v>1</v>
      </c>
      <c r="L527" s="120">
        <v>50</v>
      </c>
      <c r="M527" s="120">
        <v>15</v>
      </c>
      <c r="N527" s="120">
        <v>40</v>
      </c>
      <c r="O527" s="120">
        <v>2</v>
      </c>
      <c r="P527" s="120">
        <v>5</v>
      </c>
      <c r="Q527" s="120">
        <v>315</v>
      </c>
      <c r="R527" s="120">
        <v>249.69999694824199</v>
      </c>
      <c r="S527" s="148">
        <v>22.700000762939499</v>
      </c>
      <c r="T527" s="120">
        <v>65</v>
      </c>
      <c r="U527" s="120">
        <v>13</v>
      </c>
      <c r="V527" s="120">
        <v>-9999</v>
      </c>
      <c r="W527" s="120">
        <v>-9999</v>
      </c>
      <c r="X527" s="120">
        <v>-9999</v>
      </c>
      <c r="Y527" s="120">
        <v>-9999</v>
      </c>
      <c r="Z527" s="120">
        <v>-9999</v>
      </c>
      <c r="AA527" s="120">
        <v>68</v>
      </c>
      <c r="AB527" s="120">
        <v>14.5</v>
      </c>
      <c r="AC527" s="120">
        <v>526</v>
      </c>
      <c r="AD527" s="120">
        <v>1798</v>
      </c>
      <c r="AE527" s="120">
        <v>-9999</v>
      </c>
      <c r="AF527" s="120">
        <v>-9999</v>
      </c>
      <c r="AG527" s="120">
        <v>-9999</v>
      </c>
    </row>
    <row r="528" spans="1:33" x14ac:dyDescent="0.25">
      <c r="A528" s="120">
        <v>527</v>
      </c>
      <c r="B528" s="120" t="b">
        <v>0</v>
      </c>
      <c r="C528" s="120">
        <v>0</v>
      </c>
      <c r="D528" s="61">
        <v>1</v>
      </c>
      <c r="E528" s="120">
        <v>1</v>
      </c>
      <c r="F528" s="120" t="s">
        <v>181</v>
      </c>
      <c r="G528" s="55">
        <v>300</v>
      </c>
      <c r="H528" s="120">
        <v>1150</v>
      </c>
      <c r="I528" s="57">
        <v>140</v>
      </c>
      <c r="J528" s="120">
        <v>140</v>
      </c>
      <c r="K528" s="120">
        <v>2</v>
      </c>
      <c r="L528" s="120">
        <v>50</v>
      </c>
      <c r="M528" s="120">
        <v>15</v>
      </c>
      <c r="N528" s="120">
        <v>40</v>
      </c>
      <c r="O528" s="120">
        <v>2</v>
      </c>
      <c r="P528" s="120">
        <v>20</v>
      </c>
      <c r="Q528" s="120">
        <v>330</v>
      </c>
      <c r="R528" s="120">
        <v>261.60000610351602</v>
      </c>
      <c r="S528" s="148">
        <v>22.700000762939499</v>
      </c>
      <c r="T528" s="120">
        <v>65</v>
      </c>
      <c r="U528" s="120">
        <v>13</v>
      </c>
      <c r="V528" s="120">
        <v>-9999</v>
      </c>
      <c r="W528" s="120">
        <v>-9999</v>
      </c>
      <c r="X528" s="120">
        <v>-9999</v>
      </c>
      <c r="Y528" s="120">
        <v>-9999</v>
      </c>
      <c r="Z528" s="120">
        <v>-9999</v>
      </c>
      <c r="AA528" s="120">
        <v>68</v>
      </c>
      <c r="AB528" s="120">
        <v>14.5</v>
      </c>
      <c r="AC528" s="120">
        <v>527</v>
      </c>
      <c r="AD528" s="120">
        <v>1799</v>
      </c>
      <c r="AE528" s="120">
        <v>-9999</v>
      </c>
      <c r="AF528" s="120">
        <v>-9999</v>
      </c>
      <c r="AG528" s="120">
        <v>-9999</v>
      </c>
    </row>
    <row r="529" spans="1:33" x14ac:dyDescent="0.25">
      <c r="A529" s="120">
        <v>528</v>
      </c>
      <c r="B529" s="120" t="b">
        <v>0</v>
      </c>
      <c r="C529" s="120">
        <v>0</v>
      </c>
      <c r="D529" s="61">
        <v>1</v>
      </c>
      <c r="E529" s="120">
        <v>1</v>
      </c>
      <c r="F529" s="120" t="s">
        <v>181</v>
      </c>
      <c r="G529" s="55">
        <v>300</v>
      </c>
      <c r="H529" s="120">
        <v>1150</v>
      </c>
      <c r="I529" s="57">
        <v>140</v>
      </c>
      <c r="J529" s="120">
        <v>140</v>
      </c>
      <c r="K529" s="120">
        <v>3</v>
      </c>
      <c r="L529" s="120">
        <v>40</v>
      </c>
      <c r="M529" s="120">
        <v>15</v>
      </c>
      <c r="N529" s="120">
        <v>40</v>
      </c>
      <c r="O529" s="120">
        <v>2</v>
      </c>
      <c r="P529" s="120">
        <v>16.666999816894499</v>
      </c>
      <c r="Q529" s="120">
        <v>330</v>
      </c>
      <c r="R529" s="120">
        <v>261.60000610351602</v>
      </c>
      <c r="S529" s="148">
        <v>22.700000762939499</v>
      </c>
      <c r="T529" s="120">
        <v>57</v>
      </c>
      <c r="U529" s="120">
        <v>13</v>
      </c>
      <c r="V529" s="120">
        <v>-9999</v>
      </c>
      <c r="W529" s="120">
        <v>-9999</v>
      </c>
      <c r="X529" s="120">
        <v>-9999</v>
      </c>
      <c r="Y529" s="120">
        <v>-9999</v>
      </c>
      <c r="Z529" s="120">
        <v>-9999</v>
      </c>
      <c r="AA529" s="120">
        <v>68</v>
      </c>
      <c r="AB529" s="120">
        <v>14.5</v>
      </c>
      <c r="AC529" s="120">
        <v>528</v>
      </c>
      <c r="AD529" s="120">
        <v>1800</v>
      </c>
      <c r="AE529" s="120">
        <v>-9999</v>
      </c>
      <c r="AF529" s="120">
        <v>-9999</v>
      </c>
      <c r="AG529" s="120">
        <v>-9999</v>
      </c>
    </row>
    <row r="530" spans="1:33" x14ac:dyDescent="0.25">
      <c r="A530" s="120">
        <v>529</v>
      </c>
      <c r="B530" s="120" t="b">
        <v>0</v>
      </c>
      <c r="C530" s="120">
        <v>0</v>
      </c>
      <c r="D530" s="61">
        <v>1</v>
      </c>
      <c r="E530" s="120">
        <v>1</v>
      </c>
      <c r="F530" s="120" t="s">
        <v>181</v>
      </c>
      <c r="G530" s="55">
        <v>300</v>
      </c>
      <c r="H530" s="120">
        <v>1098</v>
      </c>
      <c r="I530" s="57">
        <v>140</v>
      </c>
      <c r="J530" s="120">
        <v>150</v>
      </c>
      <c r="K530" s="120">
        <v>4</v>
      </c>
      <c r="L530" s="120">
        <v>100</v>
      </c>
      <c r="M530" s="120">
        <v>15</v>
      </c>
      <c r="N530" s="120">
        <v>40</v>
      </c>
      <c r="O530" s="120">
        <v>2</v>
      </c>
      <c r="P530" s="120">
        <v>-9999</v>
      </c>
      <c r="Q530" s="120">
        <v>315</v>
      </c>
      <c r="R530" s="120">
        <v>249.69999694824199</v>
      </c>
      <c r="S530" s="148">
        <v>22.700000762939499</v>
      </c>
      <c r="T530" s="120">
        <v>-9999</v>
      </c>
      <c r="U530" s="120">
        <v>13</v>
      </c>
      <c r="V530" s="120">
        <v>-9999</v>
      </c>
      <c r="W530" s="120">
        <v>-9999</v>
      </c>
      <c r="X530" s="120">
        <v>-9999</v>
      </c>
      <c r="Y530" s="120">
        <v>-9999</v>
      </c>
      <c r="Z530" s="120">
        <v>-9999</v>
      </c>
      <c r="AA530" s="120">
        <v>68</v>
      </c>
      <c r="AB530" s="120">
        <v>14.5</v>
      </c>
      <c r="AC530" s="120">
        <v>529</v>
      </c>
      <c r="AD530" s="120">
        <v>1801</v>
      </c>
      <c r="AE530" s="120">
        <v>-9999</v>
      </c>
      <c r="AF530" s="120">
        <v>-9999</v>
      </c>
      <c r="AG530" s="120">
        <v>-9999</v>
      </c>
    </row>
    <row r="531" spans="1:33" x14ac:dyDescent="0.25">
      <c r="A531" s="120">
        <v>530</v>
      </c>
      <c r="B531" s="120" t="b">
        <v>0</v>
      </c>
      <c r="C531" s="120">
        <v>0</v>
      </c>
      <c r="D531" s="61">
        <v>1</v>
      </c>
      <c r="E531" s="120">
        <v>1</v>
      </c>
      <c r="F531" s="120" t="s">
        <v>181</v>
      </c>
      <c r="G531" s="55">
        <v>300</v>
      </c>
      <c r="H531" s="120">
        <v>1098</v>
      </c>
      <c r="I531" s="57">
        <v>140</v>
      </c>
      <c r="J531" s="120">
        <v>150</v>
      </c>
      <c r="K531" s="120">
        <v>11</v>
      </c>
      <c r="L531" s="120">
        <v>60</v>
      </c>
      <c r="M531" s="120">
        <v>15</v>
      </c>
      <c r="N531" s="120">
        <v>40</v>
      </c>
      <c r="O531" s="120">
        <v>2</v>
      </c>
      <c r="P531" s="120">
        <v>25</v>
      </c>
      <c r="Q531" s="120">
        <v>315</v>
      </c>
      <c r="R531" s="120">
        <v>249.69999694824199</v>
      </c>
      <c r="S531" s="148">
        <v>22.700000762939499</v>
      </c>
      <c r="T531" s="120">
        <v>70</v>
      </c>
      <c r="U531" s="120">
        <v>13</v>
      </c>
      <c r="V531" s="120">
        <v>-9999</v>
      </c>
      <c r="W531" s="120">
        <v>-9999</v>
      </c>
      <c r="X531" s="120">
        <v>-9999</v>
      </c>
      <c r="Y531" s="120">
        <v>-9999</v>
      </c>
      <c r="Z531" s="120">
        <v>-9999</v>
      </c>
      <c r="AA531" s="120">
        <v>68</v>
      </c>
      <c r="AB531" s="120">
        <v>14.5</v>
      </c>
      <c r="AC531" s="120">
        <v>530</v>
      </c>
      <c r="AD531" s="120">
        <v>1802</v>
      </c>
      <c r="AE531" s="120">
        <v>-9999</v>
      </c>
      <c r="AF531" s="120">
        <v>-9999</v>
      </c>
      <c r="AG531" s="120">
        <v>-9999</v>
      </c>
    </row>
    <row r="532" spans="1:33" x14ac:dyDescent="0.25">
      <c r="A532" s="120">
        <v>531</v>
      </c>
      <c r="B532" s="120" t="b">
        <v>0</v>
      </c>
      <c r="C532" s="120">
        <v>0</v>
      </c>
      <c r="D532" s="61">
        <v>1</v>
      </c>
      <c r="E532" s="120">
        <v>1</v>
      </c>
      <c r="F532" s="120" t="s">
        <v>181</v>
      </c>
      <c r="G532" s="55">
        <v>300</v>
      </c>
      <c r="H532" s="120">
        <v>1137</v>
      </c>
      <c r="I532" s="57">
        <v>150</v>
      </c>
      <c r="J532" s="120">
        <v>160</v>
      </c>
      <c r="K532" s="120">
        <v>1</v>
      </c>
      <c r="L532" s="120">
        <v>50</v>
      </c>
      <c r="M532" s="120">
        <v>15</v>
      </c>
      <c r="N532" s="120">
        <v>40</v>
      </c>
      <c r="O532" s="120">
        <v>2</v>
      </c>
      <c r="P532" s="120">
        <v>5</v>
      </c>
      <c r="Q532" s="120">
        <v>315</v>
      </c>
      <c r="R532" s="120">
        <v>249.69999694824199</v>
      </c>
      <c r="S532" s="148">
        <v>22</v>
      </c>
      <c r="T532" s="120">
        <v>65</v>
      </c>
      <c r="U532" s="120">
        <v>13</v>
      </c>
      <c r="V532" s="120">
        <v>-9999</v>
      </c>
      <c r="W532" s="120">
        <v>-9999</v>
      </c>
      <c r="X532" s="120">
        <v>-9999</v>
      </c>
      <c r="Y532" s="120">
        <v>-9999</v>
      </c>
      <c r="Z532" s="120">
        <v>-9999</v>
      </c>
      <c r="AA532" s="120">
        <v>68</v>
      </c>
      <c r="AB532" s="120">
        <v>14.5</v>
      </c>
      <c r="AC532" s="120">
        <v>531</v>
      </c>
      <c r="AD532" s="120">
        <v>1803</v>
      </c>
      <c r="AE532" s="120">
        <v>-9999</v>
      </c>
      <c r="AF532" s="120">
        <v>-9999</v>
      </c>
      <c r="AG532" s="120">
        <v>-9999</v>
      </c>
    </row>
    <row r="533" spans="1:33" x14ac:dyDescent="0.25">
      <c r="A533" s="120">
        <v>532</v>
      </c>
      <c r="B533" s="120" t="b">
        <v>0</v>
      </c>
      <c r="C533" s="120">
        <v>0</v>
      </c>
      <c r="D533" s="61">
        <v>1</v>
      </c>
      <c r="E533" s="120">
        <v>1</v>
      </c>
      <c r="F533" s="120" t="s">
        <v>181</v>
      </c>
      <c r="G533" s="55">
        <v>300</v>
      </c>
      <c r="H533" s="120">
        <v>1192</v>
      </c>
      <c r="I533" s="57">
        <v>150</v>
      </c>
      <c r="J533" s="120">
        <v>150</v>
      </c>
      <c r="K533" s="120">
        <v>2</v>
      </c>
      <c r="L533" s="120">
        <v>50</v>
      </c>
      <c r="M533" s="120">
        <v>15</v>
      </c>
      <c r="N533" s="120">
        <v>40</v>
      </c>
      <c r="O533" s="120">
        <v>2</v>
      </c>
      <c r="P533" s="120">
        <v>20</v>
      </c>
      <c r="Q533" s="120">
        <v>330</v>
      </c>
      <c r="R533" s="120">
        <v>261.60000610351602</v>
      </c>
      <c r="S533" s="148">
        <v>22</v>
      </c>
      <c r="T533" s="120">
        <v>65</v>
      </c>
      <c r="U533" s="120">
        <v>13</v>
      </c>
      <c r="V533" s="120">
        <v>-9999</v>
      </c>
      <c r="W533" s="120">
        <v>-9999</v>
      </c>
      <c r="X533" s="120">
        <v>-9999</v>
      </c>
      <c r="Y533" s="120">
        <v>-9999</v>
      </c>
      <c r="Z533" s="120">
        <v>-9999</v>
      </c>
      <c r="AA533" s="120">
        <v>68</v>
      </c>
      <c r="AB533" s="120">
        <v>14.5</v>
      </c>
      <c r="AC533" s="120">
        <v>532</v>
      </c>
      <c r="AD533" s="120">
        <v>1804</v>
      </c>
      <c r="AE533" s="120">
        <v>-9999</v>
      </c>
      <c r="AF533" s="120">
        <v>-9999</v>
      </c>
      <c r="AG533" s="120">
        <v>-9999</v>
      </c>
    </row>
    <row r="534" spans="1:33" x14ac:dyDescent="0.25">
      <c r="A534" s="120">
        <v>533</v>
      </c>
      <c r="B534" s="120" t="b">
        <v>0</v>
      </c>
      <c r="C534" s="120">
        <v>0</v>
      </c>
      <c r="D534" s="61">
        <v>1</v>
      </c>
      <c r="E534" s="120">
        <v>1</v>
      </c>
      <c r="F534" s="120" t="s">
        <v>181</v>
      </c>
      <c r="G534" s="55">
        <v>300</v>
      </c>
      <c r="H534" s="120">
        <v>1192</v>
      </c>
      <c r="I534" s="57">
        <v>150</v>
      </c>
      <c r="J534" s="120">
        <v>150</v>
      </c>
      <c r="K534" s="120">
        <v>3</v>
      </c>
      <c r="L534" s="120">
        <v>40</v>
      </c>
      <c r="M534" s="120">
        <v>15</v>
      </c>
      <c r="N534" s="120">
        <v>40</v>
      </c>
      <c r="O534" s="120">
        <v>2</v>
      </c>
      <c r="P534" s="120">
        <v>16.666999816894499</v>
      </c>
      <c r="Q534" s="120">
        <v>330</v>
      </c>
      <c r="R534" s="120">
        <v>261.60000610351602</v>
      </c>
      <c r="S534" s="148">
        <v>22</v>
      </c>
      <c r="T534" s="120">
        <v>57</v>
      </c>
      <c r="U534" s="120">
        <v>13</v>
      </c>
      <c r="V534" s="120">
        <v>-9999</v>
      </c>
      <c r="W534" s="120">
        <v>-9999</v>
      </c>
      <c r="X534" s="120">
        <v>-9999</v>
      </c>
      <c r="Y534" s="120">
        <v>-9999</v>
      </c>
      <c r="Z534" s="120">
        <v>-9999</v>
      </c>
      <c r="AA534" s="120">
        <v>68</v>
      </c>
      <c r="AB534" s="120">
        <v>14.5</v>
      </c>
      <c r="AC534" s="120">
        <v>533</v>
      </c>
      <c r="AD534" s="120">
        <v>1805</v>
      </c>
      <c r="AE534" s="120">
        <v>-9999</v>
      </c>
      <c r="AF534" s="120">
        <v>-9999</v>
      </c>
      <c r="AG534" s="120">
        <v>-9999</v>
      </c>
    </row>
    <row r="535" spans="1:33" x14ac:dyDescent="0.25">
      <c r="A535" s="120">
        <v>534</v>
      </c>
      <c r="B535" s="120" t="b">
        <v>0</v>
      </c>
      <c r="C535" s="120">
        <v>0</v>
      </c>
      <c r="D535" s="61">
        <v>1</v>
      </c>
      <c r="E535" s="120">
        <v>1</v>
      </c>
      <c r="F535" s="120" t="s">
        <v>181</v>
      </c>
      <c r="G535" s="55">
        <v>300</v>
      </c>
      <c r="H535" s="120">
        <v>1137</v>
      </c>
      <c r="I535" s="57">
        <v>150</v>
      </c>
      <c r="J535" s="120">
        <v>160</v>
      </c>
      <c r="K535" s="120">
        <v>4</v>
      </c>
      <c r="L535" s="120">
        <v>100</v>
      </c>
      <c r="M535" s="120">
        <v>15</v>
      </c>
      <c r="N535" s="120">
        <v>40</v>
      </c>
      <c r="O535" s="120">
        <v>2</v>
      </c>
      <c r="P535" s="120">
        <v>-9999</v>
      </c>
      <c r="Q535" s="120">
        <v>315</v>
      </c>
      <c r="R535" s="120">
        <v>249.69999694824199</v>
      </c>
      <c r="S535" s="148">
        <v>22</v>
      </c>
      <c r="T535" s="120">
        <v>-9999</v>
      </c>
      <c r="U535" s="120">
        <v>13</v>
      </c>
      <c r="V535" s="120">
        <v>-9999</v>
      </c>
      <c r="W535" s="120">
        <v>-9999</v>
      </c>
      <c r="X535" s="120">
        <v>-9999</v>
      </c>
      <c r="Y535" s="120">
        <v>-9999</v>
      </c>
      <c r="Z535" s="120">
        <v>-9999</v>
      </c>
      <c r="AA535" s="120">
        <v>68</v>
      </c>
      <c r="AB535" s="120">
        <v>14.5</v>
      </c>
      <c r="AC535" s="120">
        <v>534</v>
      </c>
      <c r="AD535" s="120">
        <v>1806</v>
      </c>
      <c r="AE535" s="120">
        <v>-9999</v>
      </c>
      <c r="AF535" s="120">
        <v>-9999</v>
      </c>
      <c r="AG535" s="120">
        <v>-9999</v>
      </c>
    </row>
    <row r="536" spans="1:33" x14ac:dyDescent="0.25">
      <c r="A536" s="120">
        <v>535</v>
      </c>
      <c r="B536" s="120" t="b">
        <v>0</v>
      </c>
      <c r="C536" s="120">
        <v>0</v>
      </c>
      <c r="D536" s="61">
        <v>1</v>
      </c>
      <c r="E536" s="120">
        <v>1</v>
      </c>
      <c r="F536" s="120" t="s">
        <v>181</v>
      </c>
      <c r="G536" s="55">
        <v>300</v>
      </c>
      <c r="H536" s="120">
        <v>1137</v>
      </c>
      <c r="I536" s="57">
        <v>150</v>
      </c>
      <c r="J536" s="120">
        <v>160</v>
      </c>
      <c r="K536" s="120">
        <v>11</v>
      </c>
      <c r="L536" s="120">
        <v>60</v>
      </c>
      <c r="M536" s="120">
        <v>15</v>
      </c>
      <c r="N536" s="120">
        <v>40</v>
      </c>
      <c r="O536" s="120">
        <v>2</v>
      </c>
      <c r="P536" s="120">
        <v>25</v>
      </c>
      <c r="Q536" s="120">
        <v>315</v>
      </c>
      <c r="R536" s="120">
        <v>249.69999694824199</v>
      </c>
      <c r="S536" s="148">
        <v>22</v>
      </c>
      <c r="T536" s="120">
        <v>70</v>
      </c>
      <c r="U536" s="120">
        <v>13</v>
      </c>
      <c r="V536" s="120">
        <v>-9999</v>
      </c>
      <c r="W536" s="120">
        <v>-9999</v>
      </c>
      <c r="X536" s="120">
        <v>-9999</v>
      </c>
      <c r="Y536" s="120">
        <v>-9999</v>
      </c>
      <c r="Z536" s="120">
        <v>-9999</v>
      </c>
      <c r="AA536" s="120">
        <v>68</v>
      </c>
      <c r="AB536" s="120">
        <v>14.5</v>
      </c>
      <c r="AC536" s="120">
        <v>535</v>
      </c>
      <c r="AD536" s="120">
        <v>1807</v>
      </c>
      <c r="AE536" s="120">
        <v>-9999</v>
      </c>
      <c r="AF536" s="120">
        <v>-9999</v>
      </c>
      <c r="AG536" s="120">
        <v>-9999</v>
      </c>
    </row>
    <row r="537" spans="1:33" x14ac:dyDescent="0.25">
      <c r="A537" s="120">
        <v>536</v>
      </c>
      <c r="B537" s="120" t="b">
        <v>0</v>
      </c>
      <c r="C537" s="120">
        <v>0</v>
      </c>
      <c r="D537" s="61">
        <v>1</v>
      </c>
      <c r="E537" s="120">
        <v>1</v>
      </c>
      <c r="F537" s="120" t="s">
        <v>181</v>
      </c>
      <c r="G537" s="55">
        <v>300</v>
      </c>
      <c r="H537" s="120">
        <v>930</v>
      </c>
      <c r="I537" s="57">
        <v>200</v>
      </c>
      <c r="J537" s="120">
        <v>210</v>
      </c>
      <c r="K537" s="120">
        <v>1</v>
      </c>
      <c r="L537" s="120">
        <v>50</v>
      </c>
      <c r="M537" s="120">
        <v>15</v>
      </c>
      <c r="N537" s="120">
        <v>40</v>
      </c>
      <c r="O537" s="120">
        <v>2</v>
      </c>
      <c r="P537" s="120">
        <v>5</v>
      </c>
      <c r="Q537" s="120">
        <v>315</v>
      </c>
      <c r="R537" s="120">
        <v>249.69999694824199</v>
      </c>
      <c r="S537" s="148">
        <v>26.899999618530298</v>
      </c>
      <c r="T537" s="120">
        <v>65</v>
      </c>
      <c r="U537" s="120">
        <v>11</v>
      </c>
      <c r="V537" s="120">
        <v>-9999</v>
      </c>
      <c r="W537" s="120">
        <v>-9999</v>
      </c>
      <c r="X537" s="120">
        <v>-9999</v>
      </c>
      <c r="Y537" s="120">
        <v>-9999</v>
      </c>
      <c r="Z537" s="120">
        <v>-9999</v>
      </c>
      <c r="AA537" s="120">
        <v>68</v>
      </c>
      <c r="AB537" s="120">
        <v>14.5</v>
      </c>
      <c r="AC537" s="120">
        <v>536</v>
      </c>
      <c r="AD537" s="120">
        <v>1808</v>
      </c>
      <c r="AE537" s="120">
        <v>-9999</v>
      </c>
      <c r="AF537" s="120">
        <v>-9999</v>
      </c>
      <c r="AG537" s="120">
        <v>-9999</v>
      </c>
    </row>
    <row r="538" spans="1:33" x14ac:dyDescent="0.25">
      <c r="A538" s="120">
        <v>537</v>
      </c>
      <c r="B538" s="120" t="b">
        <v>0</v>
      </c>
      <c r="C538" s="120">
        <v>0</v>
      </c>
      <c r="D538" s="61">
        <v>1</v>
      </c>
      <c r="E538" s="120">
        <v>1</v>
      </c>
      <c r="F538" s="120" t="s">
        <v>181</v>
      </c>
      <c r="G538" s="55">
        <v>300</v>
      </c>
      <c r="H538" s="120">
        <v>974</v>
      </c>
      <c r="I538" s="57">
        <v>200</v>
      </c>
      <c r="J538" s="120">
        <v>200</v>
      </c>
      <c r="K538" s="120">
        <v>2</v>
      </c>
      <c r="L538" s="120">
        <v>50</v>
      </c>
      <c r="M538" s="120">
        <v>15</v>
      </c>
      <c r="N538" s="120">
        <v>40</v>
      </c>
      <c r="O538" s="120">
        <v>2</v>
      </c>
      <c r="P538" s="120">
        <v>20</v>
      </c>
      <c r="Q538" s="120">
        <v>330</v>
      </c>
      <c r="R538" s="120">
        <v>261.60000610351602</v>
      </c>
      <c r="S538" s="148">
        <v>26.899999618530298</v>
      </c>
      <c r="T538" s="120">
        <v>65</v>
      </c>
      <c r="U538" s="120">
        <v>11</v>
      </c>
      <c r="V538" s="120">
        <v>-9999</v>
      </c>
      <c r="W538" s="120">
        <v>-9999</v>
      </c>
      <c r="X538" s="120">
        <v>-9999</v>
      </c>
      <c r="Y538" s="120">
        <v>-9999</v>
      </c>
      <c r="Z538" s="120">
        <v>-9999</v>
      </c>
      <c r="AA538" s="120">
        <v>68</v>
      </c>
      <c r="AB538" s="120">
        <v>14.5</v>
      </c>
      <c r="AC538" s="120">
        <v>537</v>
      </c>
      <c r="AD538" s="120">
        <v>1809</v>
      </c>
      <c r="AE538" s="120">
        <v>-9999</v>
      </c>
      <c r="AF538" s="120">
        <v>-9999</v>
      </c>
      <c r="AG538" s="120">
        <v>-9999</v>
      </c>
    </row>
    <row r="539" spans="1:33" x14ac:dyDescent="0.25">
      <c r="A539" s="120">
        <v>538</v>
      </c>
      <c r="B539" s="120" t="b">
        <v>0</v>
      </c>
      <c r="C539" s="120">
        <v>0</v>
      </c>
      <c r="D539" s="61">
        <v>1</v>
      </c>
      <c r="E539" s="120">
        <v>1</v>
      </c>
      <c r="F539" s="120" t="s">
        <v>181</v>
      </c>
      <c r="G539" s="55">
        <v>300</v>
      </c>
      <c r="H539" s="120">
        <v>974</v>
      </c>
      <c r="I539" s="57">
        <v>200</v>
      </c>
      <c r="J539" s="120">
        <v>200</v>
      </c>
      <c r="K539" s="120">
        <v>3</v>
      </c>
      <c r="L539" s="120">
        <v>40</v>
      </c>
      <c r="M539" s="120">
        <v>15</v>
      </c>
      <c r="N539" s="120">
        <v>40</v>
      </c>
      <c r="O539" s="120">
        <v>2</v>
      </c>
      <c r="P539" s="120">
        <v>16.666999816894499</v>
      </c>
      <c r="Q539" s="120">
        <v>330</v>
      </c>
      <c r="R539" s="120">
        <v>261.60000610351602</v>
      </c>
      <c r="S539" s="148">
        <v>26.899999618530298</v>
      </c>
      <c r="T539" s="120">
        <v>57</v>
      </c>
      <c r="U539" s="120">
        <v>11</v>
      </c>
      <c r="V539" s="120">
        <v>-9999</v>
      </c>
      <c r="W539" s="120">
        <v>-9999</v>
      </c>
      <c r="X539" s="120">
        <v>-9999</v>
      </c>
      <c r="Y539" s="120">
        <v>-9999</v>
      </c>
      <c r="Z539" s="120">
        <v>-9999</v>
      </c>
      <c r="AA539" s="120">
        <v>68</v>
      </c>
      <c r="AB539" s="120">
        <v>14.5</v>
      </c>
      <c r="AC539" s="120">
        <v>538</v>
      </c>
      <c r="AD539" s="120">
        <v>1810</v>
      </c>
      <c r="AE539" s="120">
        <v>-9999</v>
      </c>
      <c r="AF539" s="120">
        <v>-9999</v>
      </c>
      <c r="AG539" s="120">
        <v>-9999</v>
      </c>
    </row>
    <row r="540" spans="1:33" x14ac:dyDescent="0.25">
      <c r="A540" s="120">
        <v>539</v>
      </c>
      <c r="B540" s="120" t="b">
        <v>0</v>
      </c>
      <c r="C540" s="120">
        <v>0</v>
      </c>
      <c r="D540" s="61">
        <v>1</v>
      </c>
      <c r="E540" s="120">
        <v>1</v>
      </c>
      <c r="F540" s="120" t="s">
        <v>181</v>
      </c>
      <c r="G540" s="55">
        <v>300</v>
      </c>
      <c r="H540" s="120">
        <v>930</v>
      </c>
      <c r="I540" s="57">
        <v>200</v>
      </c>
      <c r="J540" s="120">
        <v>210</v>
      </c>
      <c r="K540" s="120">
        <v>4</v>
      </c>
      <c r="L540" s="120">
        <v>100</v>
      </c>
      <c r="M540" s="120">
        <v>15</v>
      </c>
      <c r="N540" s="120">
        <v>40</v>
      </c>
      <c r="O540" s="120">
        <v>2</v>
      </c>
      <c r="P540" s="120">
        <v>-9999</v>
      </c>
      <c r="Q540" s="120">
        <v>315</v>
      </c>
      <c r="R540" s="120">
        <v>249.69999694824199</v>
      </c>
      <c r="S540" s="148">
        <v>26.899999618530298</v>
      </c>
      <c r="T540" s="120">
        <v>-9999</v>
      </c>
      <c r="U540" s="120">
        <v>11</v>
      </c>
      <c r="V540" s="120">
        <v>-9999</v>
      </c>
      <c r="W540" s="120">
        <v>-9999</v>
      </c>
      <c r="X540" s="120">
        <v>-9999</v>
      </c>
      <c r="Y540" s="120">
        <v>-9999</v>
      </c>
      <c r="Z540" s="120">
        <v>-9999</v>
      </c>
      <c r="AA540" s="120">
        <v>68</v>
      </c>
      <c r="AB540" s="120">
        <v>14.5</v>
      </c>
      <c r="AC540" s="120">
        <v>539</v>
      </c>
      <c r="AD540" s="120">
        <v>1811</v>
      </c>
      <c r="AE540" s="120">
        <v>-9999</v>
      </c>
      <c r="AF540" s="120">
        <v>-9999</v>
      </c>
      <c r="AG540" s="120">
        <v>-9999</v>
      </c>
    </row>
    <row r="541" spans="1:33" x14ac:dyDescent="0.25">
      <c r="A541" s="120">
        <v>540</v>
      </c>
      <c r="B541" s="120" t="b">
        <v>0</v>
      </c>
      <c r="C541" s="120">
        <v>0</v>
      </c>
      <c r="D541" s="61">
        <v>1</v>
      </c>
      <c r="E541" s="120">
        <v>1</v>
      </c>
      <c r="F541" s="120" t="s">
        <v>181</v>
      </c>
      <c r="G541" s="55">
        <v>300</v>
      </c>
      <c r="H541" s="120">
        <v>930</v>
      </c>
      <c r="I541" s="57">
        <v>200</v>
      </c>
      <c r="J541" s="120">
        <v>210</v>
      </c>
      <c r="K541" s="120">
        <v>11</v>
      </c>
      <c r="L541" s="120">
        <v>60</v>
      </c>
      <c r="M541" s="120">
        <v>15</v>
      </c>
      <c r="N541" s="120">
        <v>40</v>
      </c>
      <c r="O541" s="120">
        <v>2</v>
      </c>
      <c r="P541" s="120">
        <v>25</v>
      </c>
      <c r="Q541" s="120">
        <v>315</v>
      </c>
      <c r="R541" s="120">
        <v>249.69999694824199</v>
      </c>
      <c r="S541" s="148">
        <v>26.899999618530298</v>
      </c>
      <c r="T541" s="120">
        <v>70</v>
      </c>
      <c r="U541" s="120">
        <v>11</v>
      </c>
      <c r="V541" s="120">
        <v>-9999</v>
      </c>
      <c r="W541" s="120">
        <v>-9999</v>
      </c>
      <c r="X541" s="120">
        <v>-9999</v>
      </c>
      <c r="Y541" s="120">
        <v>-9999</v>
      </c>
      <c r="Z541" s="120">
        <v>-9999</v>
      </c>
      <c r="AA541" s="120">
        <v>68</v>
      </c>
      <c r="AB541" s="120">
        <v>14.5</v>
      </c>
      <c r="AC541" s="120">
        <v>540</v>
      </c>
      <c r="AD541" s="120">
        <v>1812</v>
      </c>
      <c r="AE541" s="120">
        <v>-9999</v>
      </c>
      <c r="AF541" s="120">
        <v>-9999</v>
      </c>
      <c r="AG541" s="120">
        <v>-9999</v>
      </c>
    </row>
    <row r="542" spans="1:33" x14ac:dyDescent="0.25">
      <c r="A542" s="120">
        <v>541</v>
      </c>
      <c r="B542" s="120" t="b">
        <v>0</v>
      </c>
      <c r="C542" s="120">
        <v>0</v>
      </c>
      <c r="D542" s="61">
        <v>1</v>
      </c>
      <c r="E542" s="120">
        <v>1</v>
      </c>
      <c r="F542" s="120" t="s">
        <v>182</v>
      </c>
      <c r="G542" s="55">
        <v>350</v>
      </c>
      <c r="H542" s="120">
        <v>1687</v>
      </c>
      <c r="I542" s="57">
        <v>100</v>
      </c>
      <c r="J542" s="120">
        <v>110</v>
      </c>
      <c r="K542" s="120">
        <v>1</v>
      </c>
      <c r="L542" s="120">
        <v>50</v>
      </c>
      <c r="M542" s="120">
        <v>15</v>
      </c>
      <c r="N542" s="120">
        <v>40</v>
      </c>
      <c r="O542" s="120">
        <v>2</v>
      </c>
      <c r="P542" s="120">
        <v>5</v>
      </c>
      <c r="Q542" s="120">
        <v>367.5</v>
      </c>
      <c r="R542" s="120">
        <v>290.10000610351602</v>
      </c>
      <c r="S542" s="148">
        <v>17.200000762939499</v>
      </c>
      <c r="T542" s="120">
        <v>65</v>
      </c>
      <c r="U542" s="120">
        <v>17</v>
      </c>
      <c r="V542" s="120">
        <v>-9999</v>
      </c>
      <c r="W542" s="120">
        <v>-9999</v>
      </c>
      <c r="X542" s="120">
        <v>-9999</v>
      </c>
      <c r="Y542" s="120">
        <v>-9999</v>
      </c>
      <c r="Z542" s="120">
        <v>-9999</v>
      </c>
      <c r="AA542" s="120">
        <v>68</v>
      </c>
      <c r="AB542" s="120">
        <v>14.5</v>
      </c>
      <c r="AC542" s="120">
        <v>541</v>
      </c>
      <c r="AD542" s="120">
        <v>1813</v>
      </c>
      <c r="AE542" s="120">
        <v>-9999</v>
      </c>
      <c r="AF542" s="120">
        <v>-9999</v>
      </c>
      <c r="AG542" s="120">
        <v>-9999</v>
      </c>
    </row>
    <row r="543" spans="1:33" x14ac:dyDescent="0.25">
      <c r="A543" s="120">
        <v>542</v>
      </c>
      <c r="B543" s="120" t="b">
        <v>0</v>
      </c>
      <c r="C543" s="120">
        <v>0</v>
      </c>
      <c r="D543" s="61">
        <v>1</v>
      </c>
      <c r="E543" s="120">
        <v>1</v>
      </c>
      <c r="F543" s="120" t="s">
        <v>182</v>
      </c>
      <c r="G543" s="55">
        <v>350</v>
      </c>
      <c r="H543" s="120">
        <v>1768</v>
      </c>
      <c r="I543" s="57">
        <v>100</v>
      </c>
      <c r="J543" s="120">
        <v>100</v>
      </c>
      <c r="K543" s="120">
        <v>2</v>
      </c>
      <c r="L543" s="120">
        <v>50</v>
      </c>
      <c r="M543" s="120">
        <v>15</v>
      </c>
      <c r="N543" s="120">
        <v>40</v>
      </c>
      <c r="O543" s="120">
        <v>2</v>
      </c>
      <c r="P543" s="120">
        <v>20</v>
      </c>
      <c r="Q543" s="120">
        <v>385</v>
      </c>
      <c r="R543" s="120">
        <v>303.89999389648398</v>
      </c>
      <c r="S543" s="148">
        <v>17.200000762939499</v>
      </c>
      <c r="T543" s="120">
        <v>65</v>
      </c>
      <c r="U543" s="120">
        <v>17</v>
      </c>
      <c r="V543" s="120">
        <v>-9999</v>
      </c>
      <c r="W543" s="120">
        <v>-9999</v>
      </c>
      <c r="X543" s="120">
        <v>-9999</v>
      </c>
      <c r="Y543" s="120">
        <v>-9999</v>
      </c>
      <c r="Z543" s="120">
        <v>-9999</v>
      </c>
      <c r="AA543" s="120">
        <v>68</v>
      </c>
      <c r="AB543" s="120">
        <v>14.5</v>
      </c>
      <c r="AC543" s="120">
        <v>542</v>
      </c>
      <c r="AD543" s="120">
        <v>1814</v>
      </c>
      <c r="AE543" s="120">
        <v>-9999</v>
      </c>
      <c r="AF543" s="120">
        <v>-9999</v>
      </c>
      <c r="AG543" s="120">
        <v>-9999</v>
      </c>
    </row>
    <row r="544" spans="1:33" x14ac:dyDescent="0.25">
      <c r="A544" s="120">
        <v>543</v>
      </c>
      <c r="B544" s="120" t="b">
        <v>0</v>
      </c>
      <c r="C544" s="120">
        <v>0</v>
      </c>
      <c r="D544" s="61">
        <v>1</v>
      </c>
      <c r="E544" s="120">
        <v>1</v>
      </c>
      <c r="F544" s="120" t="s">
        <v>182</v>
      </c>
      <c r="G544" s="55">
        <v>350</v>
      </c>
      <c r="H544" s="120">
        <v>1768</v>
      </c>
      <c r="I544" s="57">
        <v>100</v>
      </c>
      <c r="J544" s="120">
        <v>100</v>
      </c>
      <c r="K544" s="120">
        <v>3</v>
      </c>
      <c r="L544" s="120">
        <v>40</v>
      </c>
      <c r="M544" s="120">
        <v>15</v>
      </c>
      <c r="N544" s="120">
        <v>40</v>
      </c>
      <c r="O544" s="120">
        <v>2</v>
      </c>
      <c r="P544" s="120">
        <v>16.666999816894499</v>
      </c>
      <c r="Q544" s="120">
        <v>385</v>
      </c>
      <c r="R544" s="120">
        <v>303.89999389648398</v>
      </c>
      <c r="S544" s="148">
        <v>17.200000762939499</v>
      </c>
      <c r="T544" s="120">
        <v>57</v>
      </c>
      <c r="U544" s="120">
        <v>17</v>
      </c>
      <c r="V544" s="120">
        <v>-9999</v>
      </c>
      <c r="W544" s="120">
        <v>-9999</v>
      </c>
      <c r="X544" s="120">
        <v>-9999</v>
      </c>
      <c r="Y544" s="120">
        <v>-9999</v>
      </c>
      <c r="Z544" s="120">
        <v>-9999</v>
      </c>
      <c r="AA544" s="120">
        <v>68</v>
      </c>
      <c r="AB544" s="120">
        <v>14.5</v>
      </c>
      <c r="AC544" s="120">
        <v>543</v>
      </c>
      <c r="AD544" s="120">
        <v>1815</v>
      </c>
      <c r="AE544" s="120">
        <v>-9999</v>
      </c>
      <c r="AF544" s="120">
        <v>-9999</v>
      </c>
      <c r="AG544" s="120">
        <v>-9999</v>
      </c>
    </row>
    <row r="545" spans="1:33" x14ac:dyDescent="0.25">
      <c r="A545" s="120">
        <v>544</v>
      </c>
      <c r="B545" s="120" t="b">
        <v>0</v>
      </c>
      <c r="C545" s="120">
        <v>0</v>
      </c>
      <c r="D545" s="61">
        <v>1</v>
      </c>
      <c r="E545" s="120">
        <v>1</v>
      </c>
      <c r="F545" s="120" t="s">
        <v>182</v>
      </c>
      <c r="G545" s="55">
        <v>350</v>
      </c>
      <c r="H545" s="120">
        <v>1687</v>
      </c>
      <c r="I545" s="57">
        <v>100</v>
      </c>
      <c r="J545" s="120">
        <v>110</v>
      </c>
      <c r="K545" s="120">
        <v>4</v>
      </c>
      <c r="L545" s="120">
        <v>100</v>
      </c>
      <c r="M545" s="120">
        <v>15</v>
      </c>
      <c r="N545" s="120">
        <v>40</v>
      </c>
      <c r="O545" s="120">
        <v>2</v>
      </c>
      <c r="P545" s="120">
        <v>-9999</v>
      </c>
      <c r="Q545" s="120">
        <v>367.5</v>
      </c>
      <c r="R545" s="120">
        <v>290.10000610351602</v>
      </c>
      <c r="S545" s="148">
        <v>17.200000762939499</v>
      </c>
      <c r="T545" s="120">
        <v>-9999</v>
      </c>
      <c r="U545" s="120">
        <v>17</v>
      </c>
      <c r="V545" s="120">
        <v>-9999</v>
      </c>
      <c r="W545" s="120">
        <v>-9999</v>
      </c>
      <c r="X545" s="120">
        <v>-9999</v>
      </c>
      <c r="Y545" s="120">
        <v>-9999</v>
      </c>
      <c r="Z545" s="120">
        <v>-9999</v>
      </c>
      <c r="AA545" s="120">
        <v>68</v>
      </c>
      <c r="AB545" s="120">
        <v>14.5</v>
      </c>
      <c r="AC545" s="120">
        <v>544</v>
      </c>
      <c r="AD545" s="120">
        <v>1816</v>
      </c>
      <c r="AE545" s="120">
        <v>-9999</v>
      </c>
      <c r="AF545" s="120">
        <v>-9999</v>
      </c>
      <c r="AG545" s="120">
        <v>-9999</v>
      </c>
    </row>
    <row r="546" spans="1:33" x14ac:dyDescent="0.25">
      <c r="A546" s="120">
        <v>545</v>
      </c>
      <c r="B546" s="120" t="b">
        <v>0</v>
      </c>
      <c r="C546" s="120">
        <v>0</v>
      </c>
      <c r="D546" s="61">
        <v>1</v>
      </c>
      <c r="E546" s="120">
        <v>1</v>
      </c>
      <c r="F546" s="120" t="s">
        <v>182</v>
      </c>
      <c r="G546" s="55">
        <v>350</v>
      </c>
      <c r="H546" s="120">
        <v>1687</v>
      </c>
      <c r="I546" s="57">
        <v>100</v>
      </c>
      <c r="J546" s="120">
        <v>110</v>
      </c>
      <c r="K546" s="120">
        <v>11</v>
      </c>
      <c r="L546" s="120">
        <v>60</v>
      </c>
      <c r="M546" s="120">
        <v>15</v>
      </c>
      <c r="N546" s="120">
        <v>40</v>
      </c>
      <c r="O546" s="120">
        <v>2</v>
      </c>
      <c r="P546" s="120">
        <v>25</v>
      </c>
      <c r="Q546" s="120">
        <v>367.5</v>
      </c>
      <c r="R546" s="120">
        <v>290.10000610351602</v>
      </c>
      <c r="S546" s="148">
        <v>17.200000762939499</v>
      </c>
      <c r="T546" s="120">
        <v>70</v>
      </c>
      <c r="U546" s="120">
        <v>17</v>
      </c>
      <c r="V546" s="120">
        <v>-9999</v>
      </c>
      <c r="W546" s="120">
        <v>-9999</v>
      </c>
      <c r="X546" s="120">
        <v>-9999</v>
      </c>
      <c r="Y546" s="120">
        <v>-9999</v>
      </c>
      <c r="Z546" s="120">
        <v>-9999</v>
      </c>
      <c r="AA546" s="120">
        <v>68</v>
      </c>
      <c r="AB546" s="120">
        <v>14.5</v>
      </c>
      <c r="AC546" s="120">
        <v>545</v>
      </c>
      <c r="AD546" s="120">
        <v>1817</v>
      </c>
      <c r="AE546" s="120">
        <v>-9999</v>
      </c>
      <c r="AF546" s="120">
        <v>-9999</v>
      </c>
      <c r="AG546" s="120">
        <v>-9999</v>
      </c>
    </row>
    <row r="547" spans="1:33" x14ac:dyDescent="0.25">
      <c r="A547" s="120">
        <v>546</v>
      </c>
      <c r="B547" s="120" t="b">
        <v>0</v>
      </c>
      <c r="C547" s="120">
        <v>0</v>
      </c>
      <c r="D547" s="61">
        <v>1</v>
      </c>
      <c r="E547" s="120">
        <v>1</v>
      </c>
      <c r="F547" s="120" t="s">
        <v>182</v>
      </c>
      <c r="G547" s="55">
        <v>350</v>
      </c>
      <c r="H547" s="120">
        <v>1557</v>
      </c>
      <c r="I547" s="57">
        <v>115</v>
      </c>
      <c r="J547" s="120">
        <v>125</v>
      </c>
      <c r="K547" s="120">
        <v>1</v>
      </c>
      <c r="L547" s="120">
        <v>50</v>
      </c>
      <c r="M547" s="120">
        <v>15</v>
      </c>
      <c r="N547" s="120">
        <v>40</v>
      </c>
      <c r="O547" s="120">
        <v>2</v>
      </c>
      <c r="P547" s="120">
        <v>5</v>
      </c>
      <c r="Q547" s="120">
        <v>367.5</v>
      </c>
      <c r="R547" s="120">
        <v>290.10000610351602</v>
      </c>
      <c r="S547" s="148">
        <v>18.600000381469702</v>
      </c>
      <c r="T547" s="120">
        <v>65</v>
      </c>
      <c r="U547" s="120">
        <v>15</v>
      </c>
      <c r="V547" s="120">
        <v>-9999</v>
      </c>
      <c r="W547" s="120">
        <v>-9999</v>
      </c>
      <c r="X547" s="120">
        <v>-9999</v>
      </c>
      <c r="Y547" s="120">
        <v>-9999</v>
      </c>
      <c r="Z547" s="120">
        <v>-9999</v>
      </c>
      <c r="AA547" s="120">
        <v>68</v>
      </c>
      <c r="AB547" s="120">
        <v>14.5</v>
      </c>
      <c r="AC547" s="120">
        <v>546</v>
      </c>
      <c r="AD547" s="120">
        <v>1818</v>
      </c>
      <c r="AE547" s="120">
        <v>-9999</v>
      </c>
      <c r="AF547" s="120">
        <v>-9999</v>
      </c>
      <c r="AG547" s="120">
        <v>-9999</v>
      </c>
    </row>
    <row r="548" spans="1:33" x14ac:dyDescent="0.25">
      <c r="A548" s="120">
        <v>547</v>
      </c>
      <c r="B548" s="120" t="b">
        <v>0</v>
      </c>
      <c r="C548" s="120">
        <v>0</v>
      </c>
      <c r="D548" s="61">
        <v>1</v>
      </c>
      <c r="E548" s="120">
        <v>1</v>
      </c>
      <c r="F548" s="120" t="s">
        <v>182</v>
      </c>
      <c r="G548" s="55">
        <v>350</v>
      </c>
      <c r="H548" s="120">
        <v>1631</v>
      </c>
      <c r="I548" s="57">
        <v>115</v>
      </c>
      <c r="J548" s="120">
        <v>115</v>
      </c>
      <c r="K548" s="120">
        <v>2</v>
      </c>
      <c r="L548" s="120">
        <v>50</v>
      </c>
      <c r="M548" s="120">
        <v>15</v>
      </c>
      <c r="N548" s="120">
        <v>40</v>
      </c>
      <c r="O548" s="120">
        <v>2</v>
      </c>
      <c r="P548" s="120">
        <v>20</v>
      </c>
      <c r="Q548" s="120">
        <v>385</v>
      </c>
      <c r="R548" s="120">
        <v>303.89999389648398</v>
      </c>
      <c r="S548" s="148">
        <v>18.600000381469702</v>
      </c>
      <c r="T548" s="120">
        <v>65</v>
      </c>
      <c r="U548" s="120">
        <v>15</v>
      </c>
      <c r="V548" s="120">
        <v>-9999</v>
      </c>
      <c r="W548" s="120">
        <v>-9999</v>
      </c>
      <c r="X548" s="120">
        <v>-9999</v>
      </c>
      <c r="Y548" s="120">
        <v>-9999</v>
      </c>
      <c r="Z548" s="120">
        <v>-9999</v>
      </c>
      <c r="AA548" s="120">
        <v>68</v>
      </c>
      <c r="AB548" s="120">
        <v>14.5</v>
      </c>
      <c r="AC548" s="120">
        <v>547</v>
      </c>
      <c r="AD548" s="120">
        <v>1819</v>
      </c>
      <c r="AE548" s="120">
        <v>-9999</v>
      </c>
      <c r="AF548" s="120">
        <v>-9999</v>
      </c>
      <c r="AG548" s="120">
        <v>-9999</v>
      </c>
    </row>
    <row r="549" spans="1:33" x14ac:dyDescent="0.25">
      <c r="A549" s="120">
        <v>548</v>
      </c>
      <c r="B549" s="120" t="b">
        <v>0</v>
      </c>
      <c r="C549" s="120">
        <v>0</v>
      </c>
      <c r="D549" s="61">
        <v>1</v>
      </c>
      <c r="E549" s="120">
        <v>1</v>
      </c>
      <c r="F549" s="120" t="s">
        <v>182</v>
      </c>
      <c r="G549" s="55">
        <v>350</v>
      </c>
      <c r="H549" s="120">
        <v>1631</v>
      </c>
      <c r="I549" s="57">
        <v>115</v>
      </c>
      <c r="J549" s="120">
        <v>115</v>
      </c>
      <c r="K549" s="120">
        <v>3</v>
      </c>
      <c r="L549" s="120">
        <v>40</v>
      </c>
      <c r="M549" s="120">
        <v>15</v>
      </c>
      <c r="N549" s="120">
        <v>40</v>
      </c>
      <c r="O549" s="120">
        <v>2</v>
      </c>
      <c r="P549" s="120">
        <v>16.666999816894499</v>
      </c>
      <c r="Q549" s="120">
        <v>385</v>
      </c>
      <c r="R549" s="120">
        <v>303.89999389648398</v>
      </c>
      <c r="S549" s="148">
        <v>18.600000381469702</v>
      </c>
      <c r="T549" s="120">
        <v>57</v>
      </c>
      <c r="U549" s="120">
        <v>15</v>
      </c>
      <c r="V549" s="120">
        <v>-9999</v>
      </c>
      <c r="W549" s="120">
        <v>-9999</v>
      </c>
      <c r="X549" s="120">
        <v>-9999</v>
      </c>
      <c r="Y549" s="120">
        <v>-9999</v>
      </c>
      <c r="Z549" s="120">
        <v>-9999</v>
      </c>
      <c r="AA549" s="120">
        <v>68</v>
      </c>
      <c r="AB549" s="120">
        <v>14.5</v>
      </c>
      <c r="AC549" s="120">
        <v>548</v>
      </c>
      <c r="AD549" s="120">
        <v>1820</v>
      </c>
      <c r="AE549" s="120">
        <v>-9999</v>
      </c>
      <c r="AF549" s="120">
        <v>-9999</v>
      </c>
      <c r="AG549" s="120">
        <v>-9999</v>
      </c>
    </row>
    <row r="550" spans="1:33" x14ac:dyDescent="0.25">
      <c r="A550" s="120">
        <v>549</v>
      </c>
      <c r="B550" s="120" t="b">
        <v>0</v>
      </c>
      <c r="C550" s="120">
        <v>0</v>
      </c>
      <c r="D550" s="61">
        <v>1</v>
      </c>
      <c r="E550" s="120">
        <v>1</v>
      </c>
      <c r="F550" s="120" t="s">
        <v>182</v>
      </c>
      <c r="G550" s="55">
        <v>350</v>
      </c>
      <c r="H550" s="120">
        <v>1557</v>
      </c>
      <c r="I550" s="57">
        <v>115</v>
      </c>
      <c r="J550" s="120">
        <v>125</v>
      </c>
      <c r="K550" s="120">
        <v>4</v>
      </c>
      <c r="L550" s="120">
        <v>100</v>
      </c>
      <c r="M550" s="120">
        <v>15</v>
      </c>
      <c r="N550" s="120">
        <v>40</v>
      </c>
      <c r="O550" s="120">
        <v>2</v>
      </c>
      <c r="P550" s="120">
        <v>-9999</v>
      </c>
      <c r="Q550" s="120">
        <v>367.5</v>
      </c>
      <c r="R550" s="120">
        <v>290.10000610351602</v>
      </c>
      <c r="S550" s="148">
        <v>18.600000381469702</v>
      </c>
      <c r="T550" s="120">
        <v>-9999</v>
      </c>
      <c r="U550" s="120">
        <v>15</v>
      </c>
      <c r="V550" s="120">
        <v>-9999</v>
      </c>
      <c r="W550" s="120">
        <v>-9999</v>
      </c>
      <c r="X550" s="120">
        <v>-9999</v>
      </c>
      <c r="Y550" s="120">
        <v>-9999</v>
      </c>
      <c r="Z550" s="120">
        <v>-9999</v>
      </c>
      <c r="AA550" s="120">
        <v>68</v>
      </c>
      <c r="AB550" s="120">
        <v>14.5</v>
      </c>
      <c r="AC550" s="120">
        <v>549</v>
      </c>
      <c r="AD550" s="120">
        <v>1821</v>
      </c>
      <c r="AE550" s="120">
        <v>-9999</v>
      </c>
      <c r="AF550" s="120">
        <v>-9999</v>
      </c>
      <c r="AG550" s="120">
        <v>-9999</v>
      </c>
    </row>
    <row r="551" spans="1:33" x14ac:dyDescent="0.25">
      <c r="A551" s="120">
        <v>550</v>
      </c>
      <c r="B551" s="120" t="b">
        <v>0</v>
      </c>
      <c r="C551" s="120">
        <v>0</v>
      </c>
      <c r="D551" s="61">
        <v>1</v>
      </c>
      <c r="E551" s="120">
        <v>1</v>
      </c>
      <c r="F551" s="120" t="s">
        <v>182</v>
      </c>
      <c r="G551" s="55">
        <v>350</v>
      </c>
      <c r="H551" s="120">
        <v>1557</v>
      </c>
      <c r="I551" s="57">
        <v>115</v>
      </c>
      <c r="J551" s="120">
        <v>125</v>
      </c>
      <c r="K551" s="120">
        <v>11</v>
      </c>
      <c r="L551" s="120">
        <v>60</v>
      </c>
      <c r="M551" s="120">
        <v>15</v>
      </c>
      <c r="N551" s="120">
        <v>40</v>
      </c>
      <c r="O551" s="120">
        <v>2</v>
      </c>
      <c r="P551" s="120">
        <v>25</v>
      </c>
      <c r="Q551" s="120">
        <v>367.5</v>
      </c>
      <c r="R551" s="120">
        <v>290.10000610351602</v>
      </c>
      <c r="S551" s="148">
        <v>18.600000381469702</v>
      </c>
      <c r="T551" s="120">
        <v>70</v>
      </c>
      <c r="U551" s="120">
        <v>15</v>
      </c>
      <c r="V551" s="120">
        <v>-9999</v>
      </c>
      <c r="W551" s="120">
        <v>-9999</v>
      </c>
      <c r="X551" s="120">
        <v>-9999</v>
      </c>
      <c r="Y551" s="120">
        <v>-9999</v>
      </c>
      <c r="Z551" s="120">
        <v>-9999</v>
      </c>
      <c r="AA551" s="120">
        <v>68</v>
      </c>
      <c r="AB551" s="120">
        <v>14.5</v>
      </c>
      <c r="AC551" s="120">
        <v>550</v>
      </c>
      <c r="AD551" s="120">
        <v>1822</v>
      </c>
      <c r="AE551" s="120">
        <v>-9999</v>
      </c>
      <c r="AF551" s="120">
        <v>-9999</v>
      </c>
      <c r="AG551" s="120">
        <v>-9999</v>
      </c>
    </row>
    <row r="552" spans="1:33" x14ac:dyDescent="0.25">
      <c r="A552" s="120">
        <v>551</v>
      </c>
      <c r="B552" s="120" t="b">
        <v>0</v>
      </c>
      <c r="C552" s="120">
        <v>0</v>
      </c>
      <c r="D552" s="61">
        <v>1</v>
      </c>
      <c r="E552" s="120">
        <v>1</v>
      </c>
      <c r="F552" s="120" t="s">
        <v>182</v>
      </c>
      <c r="G552" s="55">
        <v>350</v>
      </c>
      <c r="H552" s="120">
        <v>1500</v>
      </c>
      <c r="I552" s="57">
        <v>125</v>
      </c>
      <c r="J552" s="120">
        <v>135</v>
      </c>
      <c r="K552" s="120">
        <v>1</v>
      </c>
      <c r="L552" s="120">
        <v>50</v>
      </c>
      <c r="M552" s="120">
        <v>15</v>
      </c>
      <c r="N552" s="120">
        <v>40</v>
      </c>
      <c r="O552" s="120">
        <v>2</v>
      </c>
      <c r="P552" s="120">
        <v>5</v>
      </c>
      <c r="Q552" s="120">
        <v>367.5</v>
      </c>
      <c r="R552" s="120">
        <v>290.10000610351602</v>
      </c>
      <c r="S552" s="148">
        <v>19.299999237060501</v>
      </c>
      <c r="T552" s="120">
        <v>65</v>
      </c>
      <c r="U552" s="120">
        <v>14</v>
      </c>
      <c r="V552" s="120">
        <v>-9999</v>
      </c>
      <c r="W552" s="120">
        <v>-9999</v>
      </c>
      <c r="X552" s="120">
        <v>-9999</v>
      </c>
      <c r="Y552" s="120">
        <v>-9999</v>
      </c>
      <c r="Z552" s="120">
        <v>-9999</v>
      </c>
      <c r="AA552" s="120">
        <v>68</v>
      </c>
      <c r="AB552" s="120">
        <v>14.5</v>
      </c>
      <c r="AC552" s="120">
        <v>551</v>
      </c>
      <c r="AD552" s="120">
        <v>1823</v>
      </c>
      <c r="AE552" s="120">
        <v>-9999</v>
      </c>
      <c r="AF552" s="120">
        <v>-9999</v>
      </c>
      <c r="AG552" s="120">
        <v>-9999</v>
      </c>
    </row>
    <row r="553" spans="1:33" x14ac:dyDescent="0.25">
      <c r="A553" s="120">
        <v>552</v>
      </c>
      <c r="B553" s="120" t="b">
        <v>0</v>
      </c>
      <c r="C553" s="120">
        <v>0</v>
      </c>
      <c r="D553" s="61">
        <v>1</v>
      </c>
      <c r="E553" s="120">
        <v>1</v>
      </c>
      <c r="F553" s="120" t="s">
        <v>182</v>
      </c>
      <c r="G553" s="55">
        <v>350</v>
      </c>
      <c r="H553" s="120">
        <v>1571</v>
      </c>
      <c r="I553" s="57">
        <v>125</v>
      </c>
      <c r="J553" s="120">
        <v>125</v>
      </c>
      <c r="K553" s="120">
        <v>2</v>
      </c>
      <c r="L553" s="120">
        <v>50</v>
      </c>
      <c r="M553" s="120">
        <v>15</v>
      </c>
      <c r="N553" s="120">
        <v>40</v>
      </c>
      <c r="O553" s="120">
        <v>2</v>
      </c>
      <c r="P553" s="120">
        <v>20</v>
      </c>
      <c r="Q553" s="120">
        <v>385</v>
      </c>
      <c r="R553" s="120">
        <v>303.89999389648398</v>
      </c>
      <c r="S553" s="148">
        <v>19.299999237060501</v>
      </c>
      <c r="T553" s="120">
        <v>65</v>
      </c>
      <c r="U553" s="120">
        <v>14</v>
      </c>
      <c r="V553" s="120">
        <v>-9999</v>
      </c>
      <c r="W553" s="120">
        <v>-9999</v>
      </c>
      <c r="X553" s="120">
        <v>-9999</v>
      </c>
      <c r="Y553" s="120">
        <v>-9999</v>
      </c>
      <c r="Z553" s="120">
        <v>-9999</v>
      </c>
      <c r="AA553" s="120">
        <v>68</v>
      </c>
      <c r="AB553" s="120">
        <v>14.5</v>
      </c>
      <c r="AC553" s="120">
        <v>552</v>
      </c>
      <c r="AD553" s="120">
        <v>1824</v>
      </c>
      <c r="AE553" s="120">
        <v>-9999</v>
      </c>
      <c r="AF553" s="120">
        <v>-9999</v>
      </c>
      <c r="AG553" s="120">
        <v>-9999</v>
      </c>
    </row>
    <row r="554" spans="1:33" x14ac:dyDescent="0.25">
      <c r="A554" s="120">
        <v>553</v>
      </c>
      <c r="B554" s="120" t="b">
        <v>0</v>
      </c>
      <c r="C554" s="120">
        <v>0</v>
      </c>
      <c r="D554" s="61">
        <v>1</v>
      </c>
      <c r="E554" s="120">
        <v>1</v>
      </c>
      <c r="F554" s="120" t="s">
        <v>182</v>
      </c>
      <c r="G554" s="55">
        <v>350</v>
      </c>
      <c r="H554" s="120">
        <v>1571</v>
      </c>
      <c r="I554" s="57">
        <v>125</v>
      </c>
      <c r="J554" s="120">
        <v>125</v>
      </c>
      <c r="K554" s="120">
        <v>3</v>
      </c>
      <c r="L554" s="120">
        <v>40</v>
      </c>
      <c r="M554" s="120">
        <v>15</v>
      </c>
      <c r="N554" s="120">
        <v>40</v>
      </c>
      <c r="O554" s="120">
        <v>2</v>
      </c>
      <c r="P554" s="120">
        <v>16.666999816894499</v>
      </c>
      <c r="Q554" s="120">
        <v>385</v>
      </c>
      <c r="R554" s="120">
        <v>303.89999389648398</v>
      </c>
      <c r="S554" s="148">
        <v>19.299999237060501</v>
      </c>
      <c r="T554" s="120">
        <v>57</v>
      </c>
      <c r="U554" s="120">
        <v>14</v>
      </c>
      <c r="V554" s="120">
        <v>-9999</v>
      </c>
      <c r="W554" s="120">
        <v>-9999</v>
      </c>
      <c r="X554" s="120">
        <v>-9999</v>
      </c>
      <c r="Y554" s="120">
        <v>-9999</v>
      </c>
      <c r="Z554" s="120">
        <v>-9999</v>
      </c>
      <c r="AA554" s="120">
        <v>68</v>
      </c>
      <c r="AB554" s="120">
        <v>14.5</v>
      </c>
      <c r="AC554" s="120">
        <v>553</v>
      </c>
      <c r="AD554" s="120">
        <v>1825</v>
      </c>
      <c r="AE554" s="120">
        <v>-9999</v>
      </c>
      <c r="AF554" s="120">
        <v>-9999</v>
      </c>
      <c r="AG554" s="120">
        <v>-9999</v>
      </c>
    </row>
    <row r="555" spans="1:33" x14ac:dyDescent="0.25">
      <c r="A555" s="120">
        <v>554</v>
      </c>
      <c r="B555" s="120" t="b">
        <v>0</v>
      </c>
      <c r="C555" s="120">
        <v>0</v>
      </c>
      <c r="D555" s="61">
        <v>1</v>
      </c>
      <c r="E555" s="120">
        <v>1</v>
      </c>
      <c r="F555" s="120" t="s">
        <v>182</v>
      </c>
      <c r="G555" s="55">
        <v>350</v>
      </c>
      <c r="H555" s="120">
        <v>1500</v>
      </c>
      <c r="I555" s="57">
        <v>125</v>
      </c>
      <c r="J555" s="120">
        <v>135</v>
      </c>
      <c r="K555" s="120">
        <v>4</v>
      </c>
      <c r="L555" s="120">
        <v>100</v>
      </c>
      <c r="M555" s="120">
        <v>15</v>
      </c>
      <c r="N555" s="120">
        <v>40</v>
      </c>
      <c r="O555" s="120">
        <v>2</v>
      </c>
      <c r="P555" s="120">
        <v>-9999</v>
      </c>
      <c r="Q555" s="120">
        <v>367.5</v>
      </c>
      <c r="R555" s="120">
        <v>290.10000610351602</v>
      </c>
      <c r="S555" s="148">
        <v>19.299999237060501</v>
      </c>
      <c r="T555" s="120">
        <v>-9999</v>
      </c>
      <c r="U555" s="120">
        <v>14</v>
      </c>
      <c r="V555" s="120">
        <v>-9999</v>
      </c>
      <c r="W555" s="120">
        <v>-9999</v>
      </c>
      <c r="X555" s="120">
        <v>-9999</v>
      </c>
      <c r="Y555" s="120">
        <v>-9999</v>
      </c>
      <c r="Z555" s="120">
        <v>-9999</v>
      </c>
      <c r="AA555" s="120">
        <v>68</v>
      </c>
      <c r="AB555" s="120">
        <v>14.5</v>
      </c>
      <c r="AC555" s="120">
        <v>554</v>
      </c>
      <c r="AD555" s="120">
        <v>1826</v>
      </c>
      <c r="AE555" s="120">
        <v>-9999</v>
      </c>
      <c r="AF555" s="120">
        <v>-9999</v>
      </c>
      <c r="AG555" s="120">
        <v>-9999</v>
      </c>
    </row>
    <row r="556" spans="1:33" x14ac:dyDescent="0.25">
      <c r="A556" s="120">
        <v>555</v>
      </c>
      <c r="B556" s="120" t="b">
        <v>0</v>
      </c>
      <c r="C556" s="120">
        <v>0</v>
      </c>
      <c r="D556" s="61">
        <v>1</v>
      </c>
      <c r="E556" s="120">
        <v>1</v>
      </c>
      <c r="F556" s="120" t="s">
        <v>182</v>
      </c>
      <c r="G556" s="55">
        <v>350</v>
      </c>
      <c r="H556" s="120">
        <v>1500</v>
      </c>
      <c r="I556" s="57">
        <v>125</v>
      </c>
      <c r="J556" s="120">
        <v>135</v>
      </c>
      <c r="K556" s="120">
        <v>11</v>
      </c>
      <c r="L556" s="120">
        <v>60</v>
      </c>
      <c r="M556" s="120">
        <v>15</v>
      </c>
      <c r="N556" s="120">
        <v>40</v>
      </c>
      <c r="O556" s="120">
        <v>2</v>
      </c>
      <c r="P556" s="120">
        <v>25</v>
      </c>
      <c r="Q556" s="120">
        <v>367.5</v>
      </c>
      <c r="R556" s="120">
        <v>290.10000610351602</v>
      </c>
      <c r="S556" s="148">
        <v>19.299999237060501</v>
      </c>
      <c r="T556" s="120">
        <v>70</v>
      </c>
      <c r="U556" s="120">
        <v>14</v>
      </c>
      <c r="V556" s="120">
        <v>-9999</v>
      </c>
      <c r="W556" s="120">
        <v>-9999</v>
      </c>
      <c r="X556" s="120">
        <v>-9999</v>
      </c>
      <c r="Y556" s="120">
        <v>-9999</v>
      </c>
      <c r="Z556" s="120">
        <v>-9999</v>
      </c>
      <c r="AA556" s="120">
        <v>68</v>
      </c>
      <c r="AB556" s="120">
        <v>14.5</v>
      </c>
      <c r="AC556" s="120">
        <v>555</v>
      </c>
      <c r="AD556" s="120">
        <v>1827</v>
      </c>
      <c r="AE556" s="120">
        <v>-9999</v>
      </c>
      <c r="AF556" s="120">
        <v>-9999</v>
      </c>
      <c r="AG556" s="120">
        <v>-9999</v>
      </c>
    </row>
    <row r="557" spans="1:33" x14ac:dyDescent="0.25">
      <c r="A557" s="120">
        <v>556</v>
      </c>
      <c r="B557" s="120" t="b">
        <v>0</v>
      </c>
      <c r="C557" s="120">
        <v>0</v>
      </c>
      <c r="D557" s="61">
        <v>1</v>
      </c>
      <c r="E557" s="120">
        <v>1</v>
      </c>
      <c r="F557" s="120" t="s">
        <v>182</v>
      </c>
      <c r="G557" s="55">
        <v>350</v>
      </c>
      <c r="H557" s="120">
        <v>1391</v>
      </c>
      <c r="I557" s="57">
        <v>140</v>
      </c>
      <c r="J557" s="120">
        <v>150</v>
      </c>
      <c r="K557" s="120">
        <v>1</v>
      </c>
      <c r="L557" s="120">
        <v>50</v>
      </c>
      <c r="M557" s="120">
        <v>15</v>
      </c>
      <c r="N557" s="120">
        <v>40</v>
      </c>
      <c r="O557" s="120">
        <v>2</v>
      </c>
      <c r="P557" s="120">
        <v>5</v>
      </c>
      <c r="Q557" s="120">
        <v>367.5</v>
      </c>
      <c r="R557" s="120">
        <v>290.10000610351602</v>
      </c>
      <c r="S557" s="148">
        <v>20.899999618530298</v>
      </c>
      <c r="T557" s="120">
        <v>65</v>
      </c>
      <c r="U557" s="120">
        <v>13</v>
      </c>
      <c r="V557" s="120">
        <v>-9999</v>
      </c>
      <c r="W557" s="120">
        <v>-9999</v>
      </c>
      <c r="X557" s="120">
        <v>-9999</v>
      </c>
      <c r="Y557" s="120">
        <v>-9999</v>
      </c>
      <c r="Z557" s="120">
        <v>-9999</v>
      </c>
      <c r="AA557" s="120">
        <v>68</v>
      </c>
      <c r="AB557" s="120">
        <v>14.5</v>
      </c>
      <c r="AC557" s="120">
        <v>556</v>
      </c>
      <c r="AD557" s="120">
        <v>1828</v>
      </c>
      <c r="AE557" s="120">
        <v>-9999</v>
      </c>
      <c r="AF557" s="120">
        <v>-9999</v>
      </c>
      <c r="AG557" s="120">
        <v>-9999</v>
      </c>
    </row>
    <row r="558" spans="1:33" x14ac:dyDescent="0.25">
      <c r="A558" s="120">
        <v>557</v>
      </c>
      <c r="B558" s="120" t="b">
        <v>0</v>
      </c>
      <c r="C558" s="120">
        <v>0</v>
      </c>
      <c r="D558" s="61">
        <v>1</v>
      </c>
      <c r="E558" s="120">
        <v>1</v>
      </c>
      <c r="F558" s="120" t="s">
        <v>182</v>
      </c>
      <c r="G558" s="55">
        <v>350</v>
      </c>
      <c r="H558" s="120">
        <v>1458</v>
      </c>
      <c r="I558" s="57">
        <v>140</v>
      </c>
      <c r="J558" s="120">
        <v>140</v>
      </c>
      <c r="K558" s="120">
        <v>2</v>
      </c>
      <c r="L558" s="120">
        <v>50</v>
      </c>
      <c r="M558" s="120">
        <v>15</v>
      </c>
      <c r="N558" s="120">
        <v>40</v>
      </c>
      <c r="O558" s="120">
        <v>2</v>
      </c>
      <c r="P558" s="120">
        <v>20</v>
      </c>
      <c r="Q558" s="120">
        <v>385</v>
      </c>
      <c r="R558" s="120">
        <v>303.89999389648398</v>
      </c>
      <c r="S558" s="148">
        <v>20.899999618530298</v>
      </c>
      <c r="T558" s="120">
        <v>65</v>
      </c>
      <c r="U558" s="120">
        <v>13</v>
      </c>
      <c r="V558" s="120">
        <v>-9999</v>
      </c>
      <c r="W558" s="120">
        <v>-9999</v>
      </c>
      <c r="X558" s="120">
        <v>-9999</v>
      </c>
      <c r="Y558" s="120">
        <v>-9999</v>
      </c>
      <c r="Z558" s="120">
        <v>-9999</v>
      </c>
      <c r="AA558" s="120">
        <v>68</v>
      </c>
      <c r="AB558" s="120">
        <v>14.5</v>
      </c>
      <c r="AC558" s="120">
        <v>557</v>
      </c>
      <c r="AD558" s="120">
        <v>1829</v>
      </c>
      <c r="AE558" s="120">
        <v>-9999</v>
      </c>
      <c r="AF558" s="120">
        <v>-9999</v>
      </c>
      <c r="AG558" s="120">
        <v>-9999</v>
      </c>
    </row>
    <row r="559" spans="1:33" x14ac:dyDescent="0.25">
      <c r="A559" s="120">
        <v>558</v>
      </c>
      <c r="B559" s="120" t="b">
        <v>0</v>
      </c>
      <c r="C559" s="120">
        <v>0</v>
      </c>
      <c r="D559" s="61">
        <v>1</v>
      </c>
      <c r="E559" s="120">
        <v>1</v>
      </c>
      <c r="F559" s="120" t="s">
        <v>182</v>
      </c>
      <c r="G559" s="55">
        <v>350</v>
      </c>
      <c r="H559" s="120">
        <v>1458</v>
      </c>
      <c r="I559" s="57">
        <v>140</v>
      </c>
      <c r="J559" s="120">
        <v>140</v>
      </c>
      <c r="K559" s="120">
        <v>3</v>
      </c>
      <c r="L559" s="120">
        <v>40</v>
      </c>
      <c r="M559" s="120">
        <v>15</v>
      </c>
      <c r="N559" s="120">
        <v>40</v>
      </c>
      <c r="O559" s="120">
        <v>2</v>
      </c>
      <c r="P559" s="120">
        <v>16.666999816894499</v>
      </c>
      <c r="Q559" s="120">
        <v>385</v>
      </c>
      <c r="R559" s="120">
        <v>303.89999389648398</v>
      </c>
      <c r="S559" s="148">
        <v>20.899999618530298</v>
      </c>
      <c r="T559" s="120">
        <v>57</v>
      </c>
      <c r="U559" s="120">
        <v>13</v>
      </c>
      <c r="V559" s="120">
        <v>-9999</v>
      </c>
      <c r="W559" s="120">
        <v>-9999</v>
      </c>
      <c r="X559" s="120">
        <v>-9999</v>
      </c>
      <c r="Y559" s="120">
        <v>-9999</v>
      </c>
      <c r="Z559" s="120">
        <v>-9999</v>
      </c>
      <c r="AA559" s="120">
        <v>68</v>
      </c>
      <c r="AB559" s="120">
        <v>14.5</v>
      </c>
      <c r="AC559" s="120">
        <v>558</v>
      </c>
      <c r="AD559" s="120">
        <v>1830</v>
      </c>
      <c r="AE559" s="120">
        <v>-9999</v>
      </c>
      <c r="AF559" s="120">
        <v>-9999</v>
      </c>
      <c r="AG559" s="120">
        <v>-9999</v>
      </c>
    </row>
    <row r="560" spans="1:33" x14ac:dyDescent="0.25">
      <c r="A560" s="120">
        <v>559</v>
      </c>
      <c r="B560" s="120" t="b">
        <v>0</v>
      </c>
      <c r="C560" s="120">
        <v>0</v>
      </c>
      <c r="D560" s="61">
        <v>1</v>
      </c>
      <c r="E560" s="120">
        <v>1</v>
      </c>
      <c r="F560" s="120" t="s">
        <v>182</v>
      </c>
      <c r="G560" s="55">
        <v>350</v>
      </c>
      <c r="H560" s="120">
        <v>1391</v>
      </c>
      <c r="I560" s="57">
        <v>140</v>
      </c>
      <c r="J560" s="120">
        <v>150</v>
      </c>
      <c r="K560" s="120">
        <v>4</v>
      </c>
      <c r="L560" s="120">
        <v>100</v>
      </c>
      <c r="M560" s="120">
        <v>15</v>
      </c>
      <c r="N560" s="120">
        <v>40</v>
      </c>
      <c r="O560" s="120">
        <v>2</v>
      </c>
      <c r="P560" s="120">
        <v>-9999</v>
      </c>
      <c r="Q560" s="120">
        <v>367.5</v>
      </c>
      <c r="R560" s="120">
        <v>290.10000610351602</v>
      </c>
      <c r="S560" s="148">
        <v>20.899999618530298</v>
      </c>
      <c r="T560" s="120">
        <v>-9999</v>
      </c>
      <c r="U560" s="120">
        <v>13</v>
      </c>
      <c r="V560" s="120">
        <v>-9999</v>
      </c>
      <c r="W560" s="120">
        <v>-9999</v>
      </c>
      <c r="X560" s="120">
        <v>-9999</v>
      </c>
      <c r="Y560" s="120">
        <v>-9999</v>
      </c>
      <c r="Z560" s="120">
        <v>-9999</v>
      </c>
      <c r="AA560" s="120">
        <v>68</v>
      </c>
      <c r="AB560" s="120">
        <v>14.5</v>
      </c>
      <c r="AC560" s="120">
        <v>559</v>
      </c>
      <c r="AD560" s="120">
        <v>1831</v>
      </c>
      <c r="AE560" s="120">
        <v>-9999</v>
      </c>
      <c r="AF560" s="120">
        <v>-9999</v>
      </c>
      <c r="AG560" s="120">
        <v>-9999</v>
      </c>
    </row>
    <row r="561" spans="1:33" x14ac:dyDescent="0.25">
      <c r="A561" s="120">
        <v>560</v>
      </c>
      <c r="B561" s="120" t="b">
        <v>0</v>
      </c>
      <c r="C561" s="120">
        <v>0</v>
      </c>
      <c r="D561" s="61">
        <v>1</v>
      </c>
      <c r="E561" s="120">
        <v>1</v>
      </c>
      <c r="F561" s="120" t="s">
        <v>182</v>
      </c>
      <c r="G561" s="55">
        <v>350</v>
      </c>
      <c r="H561" s="120">
        <v>1391</v>
      </c>
      <c r="I561" s="57">
        <v>140</v>
      </c>
      <c r="J561" s="120">
        <v>150</v>
      </c>
      <c r="K561" s="120">
        <v>11</v>
      </c>
      <c r="L561" s="120">
        <v>60</v>
      </c>
      <c r="M561" s="120">
        <v>15</v>
      </c>
      <c r="N561" s="120">
        <v>40</v>
      </c>
      <c r="O561" s="120">
        <v>2</v>
      </c>
      <c r="P561" s="120">
        <v>25</v>
      </c>
      <c r="Q561" s="120">
        <v>367.5</v>
      </c>
      <c r="R561" s="120">
        <v>290.10000610351602</v>
      </c>
      <c r="S561" s="148">
        <v>20.899999618530298</v>
      </c>
      <c r="T561" s="120">
        <v>70</v>
      </c>
      <c r="U561" s="120">
        <v>13</v>
      </c>
      <c r="V561" s="120">
        <v>-9999</v>
      </c>
      <c r="W561" s="120">
        <v>-9999</v>
      </c>
      <c r="X561" s="120">
        <v>-9999</v>
      </c>
      <c r="Y561" s="120">
        <v>-9999</v>
      </c>
      <c r="Z561" s="120">
        <v>-9999</v>
      </c>
      <c r="AA561" s="120">
        <v>68</v>
      </c>
      <c r="AB561" s="120">
        <v>14.5</v>
      </c>
      <c r="AC561" s="120">
        <v>560</v>
      </c>
      <c r="AD561" s="120">
        <v>1832</v>
      </c>
      <c r="AE561" s="120">
        <v>-9999</v>
      </c>
      <c r="AF561" s="120">
        <v>-9999</v>
      </c>
      <c r="AG561" s="120">
        <v>-9999</v>
      </c>
    </row>
    <row r="562" spans="1:33" x14ac:dyDescent="0.25">
      <c r="A562" s="120">
        <v>561</v>
      </c>
      <c r="B562" s="120" t="b">
        <v>0</v>
      </c>
      <c r="C562" s="120">
        <v>0</v>
      </c>
      <c r="D562" s="61">
        <v>1</v>
      </c>
      <c r="E562" s="120">
        <v>1</v>
      </c>
      <c r="F562" s="120" t="s">
        <v>182</v>
      </c>
      <c r="G562" s="55">
        <v>350</v>
      </c>
      <c r="H562" s="120">
        <v>1247</v>
      </c>
      <c r="I562" s="57">
        <v>150</v>
      </c>
      <c r="J562" s="120">
        <v>160</v>
      </c>
      <c r="K562" s="120">
        <v>1</v>
      </c>
      <c r="L562" s="120">
        <v>50</v>
      </c>
      <c r="M562" s="120">
        <v>15</v>
      </c>
      <c r="N562" s="120">
        <v>40</v>
      </c>
      <c r="O562" s="120">
        <v>2</v>
      </c>
      <c r="P562" s="120">
        <v>5</v>
      </c>
      <c r="Q562" s="120">
        <v>367.5</v>
      </c>
      <c r="R562" s="120">
        <v>290.10000610351602</v>
      </c>
      <c r="S562" s="148">
        <v>23.299999237060501</v>
      </c>
      <c r="T562" s="120">
        <v>65</v>
      </c>
      <c r="U562" s="120">
        <v>13</v>
      </c>
      <c r="V562" s="120">
        <v>-9999</v>
      </c>
      <c r="W562" s="120">
        <v>-9999</v>
      </c>
      <c r="X562" s="120">
        <v>-9999</v>
      </c>
      <c r="Y562" s="120">
        <v>-9999</v>
      </c>
      <c r="Z562" s="120">
        <v>-9999</v>
      </c>
      <c r="AA562" s="120">
        <v>68</v>
      </c>
      <c r="AB562" s="120">
        <v>14.5</v>
      </c>
      <c r="AC562" s="120">
        <v>561</v>
      </c>
      <c r="AD562" s="120">
        <v>1833</v>
      </c>
      <c r="AE562" s="120">
        <v>-9999</v>
      </c>
      <c r="AF562" s="120">
        <v>-9999</v>
      </c>
      <c r="AG562" s="120">
        <v>-9999</v>
      </c>
    </row>
    <row r="563" spans="1:33" x14ac:dyDescent="0.25">
      <c r="A563" s="120">
        <v>562</v>
      </c>
      <c r="B563" s="120" t="b">
        <v>0</v>
      </c>
      <c r="C563" s="120">
        <v>0</v>
      </c>
      <c r="D563" s="61">
        <v>1</v>
      </c>
      <c r="E563" s="120">
        <v>1</v>
      </c>
      <c r="F563" s="120" t="s">
        <v>182</v>
      </c>
      <c r="G563" s="55">
        <v>350</v>
      </c>
      <c r="H563" s="120">
        <v>1306</v>
      </c>
      <c r="I563" s="57">
        <v>150</v>
      </c>
      <c r="J563" s="120">
        <v>150</v>
      </c>
      <c r="K563" s="120">
        <v>2</v>
      </c>
      <c r="L563" s="120">
        <v>50</v>
      </c>
      <c r="M563" s="120">
        <v>15</v>
      </c>
      <c r="N563" s="120">
        <v>40</v>
      </c>
      <c r="O563" s="120">
        <v>2</v>
      </c>
      <c r="P563" s="120">
        <v>20</v>
      </c>
      <c r="Q563" s="120">
        <v>385</v>
      </c>
      <c r="R563" s="120">
        <v>303.89999389648398</v>
      </c>
      <c r="S563" s="148">
        <v>23.299999237060501</v>
      </c>
      <c r="T563" s="120">
        <v>65</v>
      </c>
      <c r="U563" s="120">
        <v>13</v>
      </c>
      <c r="V563" s="120">
        <v>-9999</v>
      </c>
      <c r="W563" s="120">
        <v>-9999</v>
      </c>
      <c r="X563" s="120">
        <v>-9999</v>
      </c>
      <c r="Y563" s="120">
        <v>-9999</v>
      </c>
      <c r="Z563" s="120">
        <v>-9999</v>
      </c>
      <c r="AA563" s="120">
        <v>68</v>
      </c>
      <c r="AB563" s="120">
        <v>14.5</v>
      </c>
      <c r="AC563" s="120">
        <v>562</v>
      </c>
      <c r="AD563" s="120">
        <v>1834</v>
      </c>
      <c r="AE563" s="120">
        <v>-9999</v>
      </c>
      <c r="AF563" s="120">
        <v>-9999</v>
      </c>
      <c r="AG563" s="120">
        <v>-9999</v>
      </c>
    </row>
    <row r="564" spans="1:33" x14ac:dyDescent="0.25">
      <c r="A564" s="120">
        <v>563</v>
      </c>
      <c r="B564" s="120" t="b">
        <v>0</v>
      </c>
      <c r="C564" s="120">
        <v>0</v>
      </c>
      <c r="D564" s="61">
        <v>1</v>
      </c>
      <c r="E564" s="120">
        <v>1</v>
      </c>
      <c r="F564" s="120" t="s">
        <v>182</v>
      </c>
      <c r="G564" s="55">
        <v>350</v>
      </c>
      <c r="H564" s="120">
        <v>1306</v>
      </c>
      <c r="I564" s="57">
        <v>150</v>
      </c>
      <c r="J564" s="120">
        <v>150</v>
      </c>
      <c r="K564" s="120">
        <v>3</v>
      </c>
      <c r="L564" s="120">
        <v>40</v>
      </c>
      <c r="M564" s="120">
        <v>15</v>
      </c>
      <c r="N564" s="120">
        <v>40</v>
      </c>
      <c r="O564" s="120">
        <v>2</v>
      </c>
      <c r="P564" s="120">
        <v>16.666999816894499</v>
      </c>
      <c r="Q564" s="120">
        <v>385</v>
      </c>
      <c r="R564" s="120">
        <v>303.89999389648398</v>
      </c>
      <c r="S564" s="148">
        <v>23.299999237060501</v>
      </c>
      <c r="T564" s="120">
        <v>57</v>
      </c>
      <c r="U564" s="120">
        <v>13</v>
      </c>
      <c r="V564" s="120">
        <v>-9999</v>
      </c>
      <c r="W564" s="120">
        <v>-9999</v>
      </c>
      <c r="X564" s="120">
        <v>-9999</v>
      </c>
      <c r="Y564" s="120">
        <v>-9999</v>
      </c>
      <c r="Z564" s="120">
        <v>-9999</v>
      </c>
      <c r="AA564" s="120">
        <v>68</v>
      </c>
      <c r="AB564" s="120">
        <v>14.5</v>
      </c>
      <c r="AC564" s="120">
        <v>563</v>
      </c>
      <c r="AD564" s="120">
        <v>1835</v>
      </c>
      <c r="AE564" s="120">
        <v>-9999</v>
      </c>
      <c r="AF564" s="120">
        <v>-9999</v>
      </c>
      <c r="AG564" s="120">
        <v>-9999</v>
      </c>
    </row>
    <row r="565" spans="1:33" x14ac:dyDescent="0.25">
      <c r="A565" s="120">
        <v>564</v>
      </c>
      <c r="B565" s="120" t="b">
        <v>0</v>
      </c>
      <c r="C565" s="120">
        <v>0</v>
      </c>
      <c r="D565" s="61">
        <v>1</v>
      </c>
      <c r="E565" s="120">
        <v>1</v>
      </c>
      <c r="F565" s="120" t="s">
        <v>182</v>
      </c>
      <c r="G565" s="55">
        <v>350</v>
      </c>
      <c r="H565" s="120">
        <v>1247</v>
      </c>
      <c r="I565" s="57">
        <v>150</v>
      </c>
      <c r="J565" s="120">
        <v>160</v>
      </c>
      <c r="K565" s="120">
        <v>4</v>
      </c>
      <c r="L565" s="120">
        <v>100</v>
      </c>
      <c r="M565" s="120">
        <v>15</v>
      </c>
      <c r="N565" s="120">
        <v>40</v>
      </c>
      <c r="O565" s="120">
        <v>2</v>
      </c>
      <c r="P565" s="120">
        <v>-9999</v>
      </c>
      <c r="Q565" s="120">
        <v>367.5</v>
      </c>
      <c r="R565" s="120">
        <v>290.10000610351602</v>
      </c>
      <c r="S565" s="148">
        <v>23.299999237060501</v>
      </c>
      <c r="T565" s="120">
        <v>-9999</v>
      </c>
      <c r="U565" s="120">
        <v>13</v>
      </c>
      <c r="V565" s="120">
        <v>-9999</v>
      </c>
      <c r="W565" s="120">
        <v>-9999</v>
      </c>
      <c r="X565" s="120">
        <v>-9999</v>
      </c>
      <c r="Y565" s="120">
        <v>-9999</v>
      </c>
      <c r="Z565" s="120">
        <v>-9999</v>
      </c>
      <c r="AA565" s="120">
        <v>68</v>
      </c>
      <c r="AB565" s="120">
        <v>14.5</v>
      </c>
      <c r="AC565" s="120">
        <v>564</v>
      </c>
      <c r="AD565" s="120">
        <v>1836</v>
      </c>
      <c r="AE565" s="120">
        <v>-9999</v>
      </c>
      <c r="AF565" s="120">
        <v>-9999</v>
      </c>
      <c r="AG565" s="120">
        <v>-9999</v>
      </c>
    </row>
    <row r="566" spans="1:33" x14ac:dyDescent="0.25">
      <c r="A566" s="120">
        <v>565</v>
      </c>
      <c r="B566" s="120" t="b">
        <v>0</v>
      </c>
      <c r="C566" s="120">
        <v>0</v>
      </c>
      <c r="D566" s="61">
        <v>1</v>
      </c>
      <c r="E566" s="120">
        <v>1</v>
      </c>
      <c r="F566" s="120" t="s">
        <v>182</v>
      </c>
      <c r="G566" s="55">
        <v>350</v>
      </c>
      <c r="H566" s="120">
        <v>1247</v>
      </c>
      <c r="I566" s="57">
        <v>150</v>
      </c>
      <c r="J566" s="120">
        <v>160</v>
      </c>
      <c r="K566" s="120">
        <v>11</v>
      </c>
      <c r="L566" s="120">
        <v>60</v>
      </c>
      <c r="M566" s="120">
        <v>15</v>
      </c>
      <c r="N566" s="120">
        <v>40</v>
      </c>
      <c r="O566" s="120">
        <v>2</v>
      </c>
      <c r="P566" s="120">
        <v>25</v>
      </c>
      <c r="Q566" s="120">
        <v>367.5</v>
      </c>
      <c r="R566" s="120">
        <v>290.10000610351602</v>
      </c>
      <c r="S566" s="148">
        <v>23.299999237060501</v>
      </c>
      <c r="T566" s="120">
        <v>70</v>
      </c>
      <c r="U566" s="120">
        <v>13</v>
      </c>
      <c r="V566" s="120">
        <v>-9999</v>
      </c>
      <c r="W566" s="120">
        <v>-9999</v>
      </c>
      <c r="X566" s="120">
        <v>-9999</v>
      </c>
      <c r="Y566" s="120">
        <v>-9999</v>
      </c>
      <c r="Z566" s="120">
        <v>-9999</v>
      </c>
      <c r="AA566" s="120">
        <v>68</v>
      </c>
      <c r="AB566" s="120">
        <v>14.5</v>
      </c>
      <c r="AC566" s="120">
        <v>565</v>
      </c>
      <c r="AD566" s="120">
        <v>1837</v>
      </c>
      <c r="AE566" s="120">
        <v>-9999</v>
      </c>
      <c r="AF566" s="120">
        <v>-9999</v>
      </c>
      <c r="AG566" s="120">
        <v>-9999</v>
      </c>
    </row>
    <row r="567" spans="1:33" x14ac:dyDescent="0.25">
      <c r="A567" s="120">
        <v>566</v>
      </c>
      <c r="B567" s="120" t="b">
        <v>0</v>
      </c>
      <c r="C567" s="120">
        <v>0</v>
      </c>
      <c r="D567" s="61">
        <v>1</v>
      </c>
      <c r="E567" s="120">
        <v>1</v>
      </c>
      <c r="F567" s="120" t="s">
        <v>182</v>
      </c>
      <c r="G567" s="55">
        <v>350</v>
      </c>
      <c r="H567" s="120">
        <v>1043</v>
      </c>
      <c r="I567" s="57">
        <v>200</v>
      </c>
      <c r="J567" s="120">
        <v>210</v>
      </c>
      <c r="K567" s="120">
        <v>1</v>
      </c>
      <c r="L567" s="120">
        <v>50</v>
      </c>
      <c r="M567" s="120">
        <v>15</v>
      </c>
      <c r="N567" s="120">
        <v>40</v>
      </c>
      <c r="O567" s="120">
        <v>2</v>
      </c>
      <c r="P567" s="120">
        <v>5</v>
      </c>
      <c r="Q567" s="120">
        <v>367.5</v>
      </c>
      <c r="R567" s="120">
        <v>290.10000610351602</v>
      </c>
      <c r="S567" s="148">
        <v>27.799999237060501</v>
      </c>
      <c r="T567" s="120">
        <v>65</v>
      </c>
      <c r="U567" s="120">
        <v>11</v>
      </c>
      <c r="V567" s="120">
        <v>-9999</v>
      </c>
      <c r="W567" s="120">
        <v>-9999</v>
      </c>
      <c r="X567" s="120">
        <v>-9999</v>
      </c>
      <c r="Y567" s="120">
        <v>-9999</v>
      </c>
      <c r="Z567" s="120">
        <v>-9999</v>
      </c>
      <c r="AA567" s="120">
        <v>68</v>
      </c>
      <c r="AB567" s="120">
        <v>14.5</v>
      </c>
      <c r="AC567" s="120">
        <v>566</v>
      </c>
      <c r="AD567" s="120">
        <v>1838</v>
      </c>
      <c r="AE567" s="120">
        <v>-9999</v>
      </c>
      <c r="AF567" s="120">
        <v>-9999</v>
      </c>
      <c r="AG567" s="120">
        <v>-9999</v>
      </c>
    </row>
    <row r="568" spans="1:33" x14ac:dyDescent="0.25">
      <c r="A568" s="120">
        <v>567</v>
      </c>
      <c r="B568" s="120" t="b">
        <v>0</v>
      </c>
      <c r="C568" s="120">
        <v>0</v>
      </c>
      <c r="D568" s="61">
        <v>1</v>
      </c>
      <c r="E568" s="120">
        <v>1</v>
      </c>
      <c r="F568" s="120" t="s">
        <v>182</v>
      </c>
      <c r="G568" s="55">
        <v>350</v>
      </c>
      <c r="H568" s="120">
        <v>1093</v>
      </c>
      <c r="I568" s="57">
        <v>200</v>
      </c>
      <c r="J568" s="120">
        <v>200</v>
      </c>
      <c r="K568" s="120">
        <v>2</v>
      </c>
      <c r="L568" s="120">
        <v>50</v>
      </c>
      <c r="M568" s="120">
        <v>15</v>
      </c>
      <c r="N568" s="120">
        <v>40</v>
      </c>
      <c r="O568" s="120">
        <v>2</v>
      </c>
      <c r="P568" s="120">
        <v>20</v>
      </c>
      <c r="Q568" s="120">
        <v>385</v>
      </c>
      <c r="R568" s="120">
        <v>303.89999389648398</v>
      </c>
      <c r="S568" s="148">
        <v>27.799999237060501</v>
      </c>
      <c r="T568" s="120">
        <v>65</v>
      </c>
      <c r="U568" s="120">
        <v>11</v>
      </c>
      <c r="V568" s="120">
        <v>-9999</v>
      </c>
      <c r="W568" s="120">
        <v>-9999</v>
      </c>
      <c r="X568" s="120">
        <v>-9999</v>
      </c>
      <c r="Y568" s="120">
        <v>-9999</v>
      </c>
      <c r="Z568" s="120">
        <v>-9999</v>
      </c>
      <c r="AA568" s="120">
        <v>68</v>
      </c>
      <c r="AB568" s="120">
        <v>14.5</v>
      </c>
      <c r="AC568" s="120">
        <v>567</v>
      </c>
      <c r="AD568" s="120">
        <v>1839</v>
      </c>
      <c r="AE568" s="120">
        <v>-9999</v>
      </c>
      <c r="AF568" s="120">
        <v>-9999</v>
      </c>
      <c r="AG568" s="120">
        <v>-9999</v>
      </c>
    </row>
    <row r="569" spans="1:33" x14ac:dyDescent="0.25">
      <c r="A569" s="120">
        <v>568</v>
      </c>
      <c r="B569" s="120" t="b">
        <v>0</v>
      </c>
      <c r="C569" s="120">
        <v>0</v>
      </c>
      <c r="D569" s="61">
        <v>1</v>
      </c>
      <c r="E569" s="120">
        <v>1</v>
      </c>
      <c r="F569" s="120" t="s">
        <v>182</v>
      </c>
      <c r="G569" s="55">
        <v>350</v>
      </c>
      <c r="H569" s="120">
        <v>1093</v>
      </c>
      <c r="I569" s="57">
        <v>200</v>
      </c>
      <c r="J569" s="120">
        <v>200</v>
      </c>
      <c r="K569" s="120">
        <v>3</v>
      </c>
      <c r="L569" s="120">
        <v>40</v>
      </c>
      <c r="M569" s="120">
        <v>15</v>
      </c>
      <c r="N569" s="120">
        <v>40</v>
      </c>
      <c r="O569" s="120">
        <v>2</v>
      </c>
      <c r="P569" s="120">
        <v>16.666999816894499</v>
      </c>
      <c r="Q569" s="120">
        <v>385</v>
      </c>
      <c r="R569" s="120">
        <v>303.89999389648398</v>
      </c>
      <c r="S569" s="148">
        <v>27.799999237060501</v>
      </c>
      <c r="T569" s="120">
        <v>57</v>
      </c>
      <c r="U569" s="120">
        <v>11</v>
      </c>
      <c r="V569" s="120">
        <v>-9999</v>
      </c>
      <c r="W569" s="120">
        <v>-9999</v>
      </c>
      <c r="X569" s="120">
        <v>-9999</v>
      </c>
      <c r="Y569" s="120">
        <v>-9999</v>
      </c>
      <c r="Z569" s="120">
        <v>-9999</v>
      </c>
      <c r="AA569" s="120">
        <v>68</v>
      </c>
      <c r="AB569" s="120">
        <v>14.5</v>
      </c>
      <c r="AC569" s="120">
        <v>568</v>
      </c>
      <c r="AD569" s="120">
        <v>1840</v>
      </c>
      <c r="AE569" s="120">
        <v>-9999</v>
      </c>
      <c r="AF569" s="120">
        <v>-9999</v>
      </c>
      <c r="AG569" s="120">
        <v>-9999</v>
      </c>
    </row>
    <row r="570" spans="1:33" x14ac:dyDescent="0.25">
      <c r="A570" s="120">
        <v>569</v>
      </c>
      <c r="B570" s="120" t="b">
        <v>0</v>
      </c>
      <c r="C570" s="120">
        <v>0</v>
      </c>
      <c r="D570" s="61">
        <v>1</v>
      </c>
      <c r="E570" s="120">
        <v>1</v>
      </c>
      <c r="F570" s="120" t="s">
        <v>182</v>
      </c>
      <c r="G570" s="55">
        <v>350</v>
      </c>
      <c r="H570" s="120">
        <v>1043</v>
      </c>
      <c r="I570" s="57">
        <v>200</v>
      </c>
      <c r="J570" s="120">
        <v>210</v>
      </c>
      <c r="K570" s="120">
        <v>4</v>
      </c>
      <c r="L570" s="120">
        <v>100</v>
      </c>
      <c r="M570" s="120">
        <v>15</v>
      </c>
      <c r="N570" s="120">
        <v>40</v>
      </c>
      <c r="O570" s="120">
        <v>2</v>
      </c>
      <c r="P570" s="120">
        <v>-9999</v>
      </c>
      <c r="Q570" s="120">
        <v>367.5</v>
      </c>
      <c r="R570" s="120">
        <v>290.10000610351602</v>
      </c>
      <c r="S570" s="148">
        <v>27.799999237060501</v>
      </c>
      <c r="T570" s="120">
        <v>-9999</v>
      </c>
      <c r="U570" s="120">
        <v>11</v>
      </c>
      <c r="V570" s="120">
        <v>-9999</v>
      </c>
      <c r="W570" s="120">
        <v>-9999</v>
      </c>
      <c r="X570" s="120">
        <v>-9999</v>
      </c>
      <c r="Y570" s="120">
        <v>-9999</v>
      </c>
      <c r="Z570" s="120">
        <v>-9999</v>
      </c>
      <c r="AA570" s="120">
        <v>68</v>
      </c>
      <c r="AB570" s="120">
        <v>14.5</v>
      </c>
      <c r="AC570" s="120">
        <v>569</v>
      </c>
      <c r="AD570" s="120">
        <v>1841</v>
      </c>
      <c r="AE570" s="120">
        <v>-9999</v>
      </c>
      <c r="AF570" s="120">
        <v>-9999</v>
      </c>
      <c r="AG570" s="120">
        <v>-9999</v>
      </c>
    </row>
    <row r="571" spans="1:33" x14ac:dyDescent="0.25">
      <c r="A571" s="120">
        <v>570</v>
      </c>
      <c r="B571" s="120" t="b">
        <v>0</v>
      </c>
      <c r="C571" s="120">
        <v>0</v>
      </c>
      <c r="D571" s="61">
        <v>1</v>
      </c>
      <c r="E571" s="120">
        <v>1</v>
      </c>
      <c r="F571" s="120" t="s">
        <v>182</v>
      </c>
      <c r="G571" s="55">
        <v>350</v>
      </c>
      <c r="H571" s="120">
        <v>1043</v>
      </c>
      <c r="I571" s="57">
        <v>200</v>
      </c>
      <c r="J571" s="120">
        <v>210</v>
      </c>
      <c r="K571" s="120">
        <v>11</v>
      </c>
      <c r="L571" s="120">
        <v>60</v>
      </c>
      <c r="M571" s="120">
        <v>15</v>
      </c>
      <c r="N571" s="120">
        <v>40</v>
      </c>
      <c r="O571" s="120">
        <v>2</v>
      </c>
      <c r="P571" s="120">
        <v>25</v>
      </c>
      <c r="Q571" s="120">
        <v>367.5</v>
      </c>
      <c r="R571" s="120">
        <v>290.10000610351602</v>
      </c>
      <c r="S571" s="148">
        <v>27.799999237060501</v>
      </c>
      <c r="T571" s="120">
        <v>70</v>
      </c>
      <c r="U571" s="120">
        <v>11</v>
      </c>
      <c r="V571" s="120">
        <v>-9999</v>
      </c>
      <c r="W571" s="120">
        <v>-9999</v>
      </c>
      <c r="X571" s="120">
        <v>-9999</v>
      </c>
      <c r="Y571" s="120">
        <v>-9999</v>
      </c>
      <c r="Z571" s="120">
        <v>-9999</v>
      </c>
      <c r="AA571" s="120">
        <v>68</v>
      </c>
      <c r="AB571" s="120">
        <v>14.5</v>
      </c>
      <c r="AC571" s="120">
        <v>570</v>
      </c>
      <c r="AD571" s="120">
        <v>1842</v>
      </c>
      <c r="AE571" s="120">
        <v>-9999</v>
      </c>
      <c r="AF571" s="120">
        <v>-9999</v>
      </c>
      <c r="AG571" s="120">
        <v>-9999</v>
      </c>
    </row>
    <row r="572" spans="1:33" x14ac:dyDescent="0.25">
      <c r="A572" s="120">
        <v>571</v>
      </c>
      <c r="B572" s="120" t="b">
        <v>0</v>
      </c>
      <c r="C572" s="120">
        <v>0</v>
      </c>
      <c r="D572" s="61">
        <v>1</v>
      </c>
      <c r="E572" s="120">
        <v>1</v>
      </c>
      <c r="F572" s="120" t="s">
        <v>183</v>
      </c>
      <c r="G572" s="55">
        <v>400</v>
      </c>
      <c r="H572" s="120">
        <v>1897</v>
      </c>
      <c r="I572" s="57">
        <v>100</v>
      </c>
      <c r="J572" s="120">
        <v>110</v>
      </c>
      <c r="K572" s="120">
        <v>1</v>
      </c>
      <c r="L572" s="120">
        <v>50</v>
      </c>
      <c r="M572" s="120">
        <v>15</v>
      </c>
      <c r="N572" s="120">
        <v>40</v>
      </c>
      <c r="O572" s="120">
        <v>2</v>
      </c>
      <c r="P572" s="120">
        <v>5</v>
      </c>
      <c r="Q572" s="120">
        <v>420</v>
      </c>
      <c r="R572" s="120">
        <v>331.60000610351602</v>
      </c>
      <c r="S572" s="148">
        <v>17.5</v>
      </c>
      <c r="T572" s="120">
        <v>65</v>
      </c>
      <c r="U572" s="120">
        <v>17</v>
      </c>
      <c r="V572" s="120">
        <v>-9999</v>
      </c>
      <c r="W572" s="120">
        <v>-9999</v>
      </c>
      <c r="X572" s="120">
        <v>-9999</v>
      </c>
      <c r="Y572" s="120">
        <v>-9999</v>
      </c>
      <c r="Z572" s="120">
        <v>-9999</v>
      </c>
      <c r="AA572" s="120">
        <v>68</v>
      </c>
      <c r="AB572" s="120">
        <v>14.5</v>
      </c>
      <c r="AC572" s="120">
        <v>571</v>
      </c>
      <c r="AD572" s="120">
        <v>1843</v>
      </c>
      <c r="AE572" s="120">
        <v>-9999</v>
      </c>
      <c r="AF572" s="120">
        <v>-9999</v>
      </c>
      <c r="AG572" s="120">
        <v>-9999</v>
      </c>
    </row>
    <row r="573" spans="1:33" x14ac:dyDescent="0.25">
      <c r="A573" s="120">
        <v>572</v>
      </c>
      <c r="B573" s="120" t="b">
        <v>0</v>
      </c>
      <c r="C573" s="120">
        <v>0</v>
      </c>
      <c r="D573" s="61">
        <v>1</v>
      </c>
      <c r="E573" s="120">
        <v>1</v>
      </c>
      <c r="F573" s="120" t="s">
        <v>183</v>
      </c>
      <c r="G573" s="55">
        <v>400</v>
      </c>
      <c r="H573" s="120">
        <v>1987</v>
      </c>
      <c r="I573" s="57">
        <v>100</v>
      </c>
      <c r="J573" s="120">
        <v>100</v>
      </c>
      <c r="K573" s="120">
        <v>2</v>
      </c>
      <c r="L573" s="120">
        <v>50</v>
      </c>
      <c r="M573" s="120">
        <v>15</v>
      </c>
      <c r="N573" s="120">
        <v>40</v>
      </c>
      <c r="O573" s="120">
        <v>2</v>
      </c>
      <c r="P573" s="120">
        <v>20</v>
      </c>
      <c r="Q573" s="120">
        <v>440</v>
      </c>
      <c r="R573" s="120">
        <v>347.29998779296898</v>
      </c>
      <c r="S573" s="148">
        <v>17.5</v>
      </c>
      <c r="T573" s="120">
        <v>65</v>
      </c>
      <c r="U573" s="120">
        <v>17</v>
      </c>
      <c r="V573" s="120">
        <v>-9999</v>
      </c>
      <c r="W573" s="120">
        <v>-9999</v>
      </c>
      <c r="X573" s="120">
        <v>-9999</v>
      </c>
      <c r="Y573" s="120">
        <v>-9999</v>
      </c>
      <c r="Z573" s="120">
        <v>-9999</v>
      </c>
      <c r="AA573" s="120">
        <v>68</v>
      </c>
      <c r="AB573" s="120">
        <v>14.5</v>
      </c>
      <c r="AC573" s="120">
        <v>572</v>
      </c>
      <c r="AD573" s="120">
        <v>1844</v>
      </c>
      <c r="AE573" s="120">
        <v>-9999</v>
      </c>
      <c r="AF573" s="120">
        <v>-9999</v>
      </c>
      <c r="AG573" s="120">
        <v>-9999</v>
      </c>
    </row>
    <row r="574" spans="1:33" x14ac:dyDescent="0.25">
      <c r="A574" s="120">
        <v>573</v>
      </c>
      <c r="B574" s="120" t="b">
        <v>0</v>
      </c>
      <c r="C574" s="120">
        <v>0</v>
      </c>
      <c r="D574" s="61">
        <v>1</v>
      </c>
      <c r="E574" s="120">
        <v>1</v>
      </c>
      <c r="F574" s="120" t="s">
        <v>183</v>
      </c>
      <c r="G574" s="55">
        <v>400</v>
      </c>
      <c r="H574" s="120">
        <v>1987</v>
      </c>
      <c r="I574" s="57">
        <v>100</v>
      </c>
      <c r="J574" s="120">
        <v>100</v>
      </c>
      <c r="K574" s="120">
        <v>3</v>
      </c>
      <c r="L574" s="120">
        <v>40</v>
      </c>
      <c r="M574" s="120">
        <v>15</v>
      </c>
      <c r="N574" s="120">
        <v>40</v>
      </c>
      <c r="O574" s="120">
        <v>2</v>
      </c>
      <c r="P574" s="120">
        <v>16.666999816894499</v>
      </c>
      <c r="Q574" s="120">
        <v>440</v>
      </c>
      <c r="R574" s="120">
        <v>347.29998779296898</v>
      </c>
      <c r="S574" s="148">
        <v>17.5</v>
      </c>
      <c r="T574" s="120">
        <v>57</v>
      </c>
      <c r="U574" s="120">
        <v>17</v>
      </c>
      <c r="V574" s="120">
        <v>-9999</v>
      </c>
      <c r="W574" s="120">
        <v>-9999</v>
      </c>
      <c r="X574" s="120">
        <v>-9999</v>
      </c>
      <c r="Y574" s="120">
        <v>-9999</v>
      </c>
      <c r="Z574" s="120">
        <v>-9999</v>
      </c>
      <c r="AA574" s="120">
        <v>68</v>
      </c>
      <c r="AB574" s="120">
        <v>14.5</v>
      </c>
      <c r="AC574" s="120">
        <v>573</v>
      </c>
      <c r="AD574" s="120">
        <v>1845</v>
      </c>
      <c r="AE574" s="120">
        <v>-9999</v>
      </c>
      <c r="AF574" s="120">
        <v>-9999</v>
      </c>
      <c r="AG574" s="120">
        <v>-9999</v>
      </c>
    </row>
    <row r="575" spans="1:33" x14ac:dyDescent="0.25">
      <c r="A575" s="120">
        <v>574</v>
      </c>
      <c r="B575" s="120" t="b">
        <v>0</v>
      </c>
      <c r="C575" s="120">
        <v>0</v>
      </c>
      <c r="D575" s="61">
        <v>1</v>
      </c>
      <c r="E575" s="120">
        <v>1</v>
      </c>
      <c r="F575" s="120" t="s">
        <v>183</v>
      </c>
      <c r="G575" s="55">
        <v>400</v>
      </c>
      <c r="H575" s="120">
        <v>1897</v>
      </c>
      <c r="I575" s="57">
        <v>100</v>
      </c>
      <c r="J575" s="120">
        <v>110</v>
      </c>
      <c r="K575" s="120">
        <v>4</v>
      </c>
      <c r="L575" s="120">
        <v>100</v>
      </c>
      <c r="M575" s="120">
        <v>15</v>
      </c>
      <c r="N575" s="120">
        <v>40</v>
      </c>
      <c r="O575" s="120">
        <v>2</v>
      </c>
      <c r="P575" s="120">
        <v>-9999</v>
      </c>
      <c r="Q575" s="120">
        <v>420</v>
      </c>
      <c r="R575" s="120">
        <v>331.60000610351602</v>
      </c>
      <c r="S575" s="148">
        <v>17.5</v>
      </c>
      <c r="T575" s="120">
        <v>-9999</v>
      </c>
      <c r="U575" s="120">
        <v>17</v>
      </c>
      <c r="V575" s="120">
        <v>-9999</v>
      </c>
      <c r="W575" s="120">
        <v>-9999</v>
      </c>
      <c r="X575" s="120">
        <v>-9999</v>
      </c>
      <c r="Y575" s="120">
        <v>-9999</v>
      </c>
      <c r="Z575" s="120">
        <v>-9999</v>
      </c>
      <c r="AA575" s="120">
        <v>68</v>
      </c>
      <c r="AB575" s="120">
        <v>14.5</v>
      </c>
      <c r="AC575" s="120">
        <v>574</v>
      </c>
      <c r="AD575" s="120">
        <v>1846</v>
      </c>
      <c r="AE575" s="120">
        <v>-9999</v>
      </c>
      <c r="AF575" s="120">
        <v>-9999</v>
      </c>
      <c r="AG575" s="120">
        <v>-9999</v>
      </c>
    </row>
    <row r="576" spans="1:33" x14ac:dyDescent="0.25">
      <c r="A576" s="120">
        <v>575</v>
      </c>
      <c r="B576" s="120" t="b">
        <v>0</v>
      </c>
      <c r="C576" s="120">
        <v>0</v>
      </c>
      <c r="D576" s="61">
        <v>1</v>
      </c>
      <c r="E576" s="120">
        <v>1</v>
      </c>
      <c r="F576" s="120" t="s">
        <v>183</v>
      </c>
      <c r="G576" s="55">
        <v>400</v>
      </c>
      <c r="H576" s="120">
        <v>1897</v>
      </c>
      <c r="I576" s="57">
        <v>100</v>
      </c>
      <c r="J576" s="120">
        <v>110</v>
      </c>
      <c r="K576" s="120">
        <v>11</v>
      </c>
      <c r="L576" s="120">
        <v>60</v>
      </c>
      <c r="M576" s="120">
        <v>15</v>
      </c>
      <c r="N576" s="120">
        <v>40</v>
      </c>
      <c r="O576" s="120">
        <v>2</v>
      </c>
      <c r="P576" s="120">
        <v>25</v>
      </c>
      <c r="Q576" s="120">
        <v>420</v>
      </c>
      <c r="R576" s="120">
        <v>331.60000610351602</v>
      </c>
      <c r="S576" s="148">
        <v>17.5</v>
      </c>
      <c r="T576" s="120">
        <v>70</v>
      </c>
      <c r="U576" s="120">
        <v>17</v>
      </c>
      <c r="V576" s="120">
        <v>-9999</v>
      </c>
      <c r="W576" s="120">
        <v>-9999</v>
      </c>
      <c r="X576" s="120">
        <v>-9999</v>
      </c>
      <c r="Y576" s="120">
        <v>-9999</v>
      </c>
      <c r="Z576" s="120">
        <v>-9999</v>
      </c>
      <c r="AA576" s="120">
        <v>68</v>
      </c>
      <c r="AB576" s="120">
        <v>14.5</v>
      </c>
      <c r="AC576" s="120">
        <v>575</v>
      </c>
      <c r="AD576" s="120">
        <v>1847</v>
      </c>
      <c r="AE576" s="120">
        <v>-9999</v>
      </c>
      <c r="AF576" s="120">
        <v>-9999</v>
      </c>
      <c r="AG576" s="120">
        <v>-9999</v>
      </c>
    </row>
    <row r="577" spans="1:33" x14ac:dyDescent="0.25">
      <c r="A577" s="120">
        <v>576</v>
      </c>
      <c r="B577" s="120" t="b">
        <v>0</v>
      </c>
      <c r="C577" s="120">
        <v>0</v>
      </c>
      <c r="D577" s="61">
        <v>1</v>
      </c>
      <c r="E577" s="120">
        <v>1</v>
      </c>
      <c r="F577" s="120" t="s">
        <v>183</v>
      </c>
      <c r="G577" s="55">
        <v>400</v>
      </c>
      <c r="H577" s="120">
        <v>1669</v>
      </c>
      <c r="I577" s="57">
        <v>125</v>
      </c>
      <c r="J577" s="120">
        <v>135</v>
      </c>
      <c r="K577" s="120">
        <v>1</v>
      </c>
      <c r="L577" s="120">
        <v>50</v>
      </c>
      <c r="M577" s="120">
        <v>15</v>
      </c>
      <c r="N577" s="120">
        <v>40</v>
      </c>
      <c r="O577" s="120">
        <v>2</v>
      </c>
      <c r="P577" s="120">
        <v>5</v>
      </c>
      <c r="Q577" s="120">
        <v>420</v>
      </c>
      <c r="R577" s="120">
        <v>331.60000610351602</v>
      </c>
      <c r="S577" s="148">
        <v>19.899999618530298</v>
      </c>
      <c r="T577" s="120">
        <v>65</v>
      </c>
      <c r="U577" s="120">
        <v>14</v>
      </c>
      <c r="V577" s="120">
        <v>-9999</v>
      </c>
      <c r="W577" s="120">
        <v>-9999</v>
      </c>
      <c r="X577" s="120">
        <v>-9999</v>
      </c>
      <c r="Y577" s="120">
        <v>-9999</v>
      </c>
      <c r="Z577" s="120">
        <v>-9999</v>
      </c>
      <c r="AA577" s="120">
        <v>68</v>
      </c>
      <c r="AB577" s="120">
        <v>14.5</v>
      </c>
      <c r="AC577" s="120">
        <v>576</v>
      </c>
      <c r="AD577" s="120">
        <v>1848</v>
      </c>
      <c r="AE577" s="120">
        <v>-9999</v>
      </c>
      <c r="AF577" s="120">
        <v>-9999</v>
      </c>
      <c r="AG577" s="120">
        <v>-9999</v>
      </c>
    </row>
    <row r="578" spans="1:33" x14ac:dyDescent="0.25">
      <c r="A578" s="120">
        <v>577</v>
      </c>
      <c r="B578" s="120" t="b">
        <v>0</v>
      </c>
      <c r="C578" s="120">
        <v>0</v>
      </c>
      <c r="D578" s="61">
        <v>1</v>
      </c>
      <c r="E578" s="120">
        <v>1</v>
      </c>
      <c r="F578" s="120" t="s">
        <v>183</v>
      </c>
      <c r="G578" s="55">
        <v>400</v>
      </c>
      <c r="H578" s="120">
        <v>1749</v>
      </c>
      <c r="I578" s="57">
        <v>125</v>
      </c>
      <c r="J578" s="120">
        <v>125</v>
      </c>
      <c r="K578" s="120">
        <v>2</v>
      </c>
      <c r="L578" s="120">
        <v>50</v>
      </c>
      <c r="M578" s="120">
        <v>15</v>
      </c>
      <c r="N578" s="120">
        <v>40</v>
      </c>
      <c r="O578" s="120">
        <v>2</v>
      </c>
      <c r="P578" s="120">
        <v>20</v>
      </c>
      <c r="Q578" s="120">
        <v>440</v>
      </c>
      <c r="R578" s="120">
        <v>347.29998779296898</v>
      </c>
      <c r="S578" s="148">
        <v>19.899999618530298</v>
      </c>
      <c r="T578" s="120">
        <v>65</v>
      </c>
      <c r="U578" s="120">
        <v>14</v>
      </c>
      <c r="V578" s="120">
        <v>-9999</v>
      </c>
      <c r="W578" s="120">
        <v>-9999</v>
      </c>
      <c r="X578" s="120">
        <v>-9999</v>
      </c>
      <c r="Y578" s="120">
        <v>-9999</v>
      </c>
      <c r="Z578" s="120">
        <v>-9999</v>
      </c>
      <c r="AA578" s="120">
        <v>68</v>
      </c>
      <c r="AB578" s="120">
        <v>14.5</v>
      </c>
      <c r="AC578" s="120">
        <v>577</v>
      </c>
      <c r="AD578" s="120">
        <v>1849</v>
      </c>
      <c r="AE578" s="120">
        <v>-9999</v>
      </c>
      <c r="AF578" s="120">
        <v>-9999</v>
      </c>
      <c r="AG578" s="120">
        <v>-9999</v>
      </c>
    </row>
    <row r="579" spans="1:33" x14ac:dyDescent="0.25">
      <c r="A579" s="120">
        <v>578</v>
      </c>
      <c r="B579" s="120" t="b">
        <v>0</v>
      </c>
      <c r="C579" s="120">
        <v>0</v>
      </c>
      <c r="D579" s="61">
        <v>1</v>
      </c>
      <c r="E579" s="120">
        <v>1</v>
      </c>
      <c r="F579" s="120" t="s">
        <v>183</v>
      </c>
      <c r="G579" s="55">
        <v>400</v>
      </c>
      <c r="H579" s="120">
        <v>1749</v>
      </c>
      <c r="I579" s="57">
        <v>125</v>
      </c>
      <c r="J579" s="120">
        <v>125</v>
      </c>
      <c r="K579" s="120">
        <v>3</v>
      </c>
      <c r="L579" s="120">
        <v>40</v>
      </c>
      <c r="M579" s="120">
        <v>15</v>
      </c>
      <c r="N579" s="120">
        <v>40</v>
      </c>
      <c r="O579" s="120">
        <v>2</v>
      </c>
      <c r="P579" s="120">
        <v>16.666999816894499</v>
      </c>
      <c r="Q579" s="120">
        <v>440</v>
      </c>
      <c r="R579" s="120">
        <v>347.29998779296898</v>
      </c>
      <c r="S579" s="148">
        <v>19.899999618530298</v>
      </c>
      <c r="T579" s="120">
        <v>57</v>
      </c>
      <c r="U579" s="120">
        <v>14</v>
      </c>
      <c r="V579" s="120">
        <v>-9999</v>
      </c>
      <c r="W579" s="120">
        <v>-9999</v>
      </c>
      <c r="X579" s="120">
        <v>-9999</v>
      </c>
      <c r="Y579" s="120">
        <v>-9999</v>
      </c>
      <c r="Z579" s="120">
        <v>-9999</v>
      </c>
      <c r="AA579" s="120">
        <v>68</v>
      </c>
      <c r="AB579" s="120">
        <v>14.5</v>
      </c>
      <c r="AC579" s="120">
        <v>578</v>
      </c>
      <c r="AD579" s="120">
        <v>1850</v>
      </c>
      <c r="AE579" s="120">
        <v>-9999</v>
      </c>
      <c r="AF579" s="120">
        <v>-9999</v>
      </c>
      <c r="AG579" s="120">
        <v>-9999</v>
      </c>
    </row>
    <row r="580" spans="1:33" x14ac:dyDescent="0.25">
      <c r="A580" s="120">
        <v>579</v>
      </c>
      <c r="B580" s="120" t="b">
        <v>0</v>
      </c>
      <c r="C580" s="120">
        <v>0</v>
      </c>
      <c r="D580" s="61">
        <v>1</v>
      </c>
      <c r="E580" s="120">
        <v>1</v>
      </c>
      <c r="F580" s="120" t="s">
        <v>183</v>
      </c>
      <c r="G580" s="55">
        <v>400</v>
      </c>
      <c r="H580" s="120">
        <v>1669</v>
      </c>
      <c r="I580" s="57">
        <v>125</v>
      </c>
      <c r="J580" s="120">
        <v>135</v>
      </c>
      <c r="K580" s="120">
        <v>4</v>
      </c>
      <c r="L580" s="120">
        <v>100</v>
      </c>
      <c r="M580" s="120">
        <v>15</v>
      </c>
      <c r="N580" s="120">
        <v>40</v>
      </c>
      <c r="O580" s="120">
        <v>2</v>
      </c>
      <c r="P580" s="120">
        <v>-9999</v>
      </c>
      <c r="Q580" s="120">
        <v>420</v>
      </c>
      <c r="R580" s="120">
        <v>331.60000610351602</v>
      </c>
      <c r="S580" s="148">
        <v>19.899999618530298</v>
      </c>
      <c r="T580" s="120">
        <v>-9999</v>
      </c>
      <c r="U580" s="120">
        <v>14</v>
      </c>
      <c r="V580" s="120">
        <v>-9999</v>
      </c>
      <c r="W580" s="120">
        <v>-9999</v>
      </c>
      <c r="X580" s="120">
        <v>-9999</v>
      </c>
      <c r="Y580" s="120">
        <v>-9999</v>
      </c>
      <c r="Z580" s="120">
        <v>-9999</v>
      </c>
      <c r="AA580" s="120">
        <v>68</v>
      </c>
      <c r="AB580" s="120">
        <v>14.5</v>
      </c>
      <c r="AC580" s="120">
        <v>579</v>
      </c>
      <c r="AD580" s="120">
        <v>1851</v>
      </c>
      <c r="AE580" s="120">
        <v>-9999</v>
      </c>
      <c r="AF580" s="120">
        <v>-9999</v>
      </c>
      <c r="AG580" s="120">
        <v>-9999</v>
      </c>
    </row>
    <row r="581" spans="1:33" x14ac:dyDescent="0.25">
      <c r="A581" s="120">
        <v>580</v>
      </c>
      <c r="B581" s="120" t="b">
        <v>0</v>
      </c>
      <c r="C581" s="120">
        <v>0</v>
      </c>
      <c r="D581" s="61">
        <v>1</v>
      </c>
      <c r="E581" s="120">
        <v>1</v>
      </c>
      <c r="F581" s="120" t="s">
        <v>183</v>
      </c>
      <c r="G581" s="55">
        <v>400</v>
      </c>
      <c r="H581" s="120">
        <v>1669</v>
      </c>
      <c r="I581" s="57">
        <v>125</v>
      </c>
      <c r="J581" s="120">
        <v>135</v>
      </c>
      <c r="K581" s="120">
        <v>11</v>
      </c>
      <c r="L581" s="120">
        <v>60</v>
      </c>
      <c r="M581" s="120">
        <v>15</v>
      </c>
      <c r="N581" s="120">
        <v>40</v>
      </c>
      <c r="O581" s="120">
        <v>2</v>
      </c>
      <c r="P581" s="120">
        <v>25</v>
      </c>
      <c r="Q581" s="120">
        <v>420</v>
      </c>
      <c r="R581" s="120">
        <v>331.60000610351602</v>
      </c>
      <c r="S581" s="148">
        <v>19.899999618530298</v>
      </c>
      <c r="T581" s="120">
        <v>70</v>
      </c>
      <c r="U581" s="120">
        <v>14</v>
      </c>
      <c r="V581" s="120">
        <v>-9999</v>
      </c>
      <c r="W581" s="120">
        <v>-9999</v>
      </c>
      <c r="X581" s="120">
        <v>-9999</v>
      </c>
      <c r="Y581" s="120">
        <v>-9999</v>
      </c>
      <c r="Z581" s="120">
        <v>-9999</v>
      </c>
      <c r="AA581" s="120">
        <v>68</v>
      </c>
      <c r="AB581" s="120">
        <v>14.5</v>
      </c>
      <c r="AC581" s="120">
        <v>580</v>
      </c>
      <c r="AD581" s="120">
        <v>1852</v>
      </c>
      <c r="AE581" s="120">
        <v>-9999</v>
      </c>
      <c r="AF581" s="120">
        <v>-9999</v>
      </c>
      <c r="AG581" s="120">
        <v>-9999</v>
      </c>
    </row>
    <row r="582" spans="1:33" x14ac:dyDescent="0.25">
      <c r="A582" s="120">
        <v>581</v>
      </c>
      <c r="B582" s="120" t="b">
        <v>0</v>
      </c>
      <c r="C582" s="120">
        <v>0</v>
      </c>
      <c r="D582" s="61">
        <v>1</v>
      </c>
      <c r="E582" s="120">
        <v>1</v>
      </c>
      <c r="F582" s="120" t="s">
        <v>183</v>
      </c>
      <c r="G582" s="55">
        <v>400</v>
      </c>
      <c r="H582" s="120">
        <v>1555</v>
      </c>
      <c r="I582" s="57">
        <v>140</v>
      </c>
      <c r="J582" s="120">
        <v>150</v>
      </c>
      <c r="K582" s="120">
        <v>1</v>
      </c>
      <c r="L582" s="120">
        <v>50</v>
      </c>
      <c r="M582" s="120">
        <v>15</v>
      </c>
      <c r="N582" s="120">
        <v>40</v>
      </c>
      <c r="O582" s="120">
        <v>2</v>
      </c>
      <c r="P582" s="120">
        <v>5</v>
      </c>
      <c r="Q582" s="120">
        <v>420</v>
      </c>
      <c r="R582" s="120">
        <v>331.60000610351602</v>
      </c>
      <c r="S582" s="148">
        <v>21.299999237060501</v>
      </c>
      <c r="T582" s="120">
        <v>65</v>
      </c>
      <c r="U582" s="120">
        <v>13</v>
      </c>
      <c r="V582" s="120">
        <v>-9999</v>
      </c>
      <c r="W582" s="120">
        <v>-9999</v>
      </c>
      <c r="X582" s="120">
        <v>-9999</v>
      </c>
      <c r="Y582" s="120">
        <v>-9999</v>
      </c>
      <c r="Z582" s="120">
        <v>-9999</v>
      </c>
      <c r="AA582" s="120">
        <v>68</v>
      </c>
      <c r="AB582" s="120">
        <v>14.5</v>
      </c>
      <c r="AC582" s="120">
        <v>581</v>
      </c>
      <c r="AD582" s="120">
        <v>1853</v>
      </c>
      <c r="AE582" s="120">
        <v>-9999</v>
      </c>
      <c r="AF582" s="120">
        <v>-9999</v>
      </c>
      <c r="AG582" s="120">
        <v>-9999</v>
      </c>
    </row>
    <row r="583" spans="1:33" x14ac:dyDescent="0.25">
      <c r="A583" s="120">
        <v>582</v>
      </c>
      <c r="B583" s="120" t="b">
        <v>0</v>
      </c>
      <c r="C583" s="120">
        <v>0</v>
      </c>
      <c r="D583" s="61">
        <v>1</v>
      </c>
      <c r="E583" s="120">
        <v>1</v>
      </c>
      <c r="F583" s="120" t="s">
        <v>183</v>
      </c>
      <c r="G583" s="55">
        <v>400</v>
      </c>
      <c r="H583" s="120">
        <v>1629</v>
      </c>
      <c r="I583" s="57">
        <v>140</v>
      </c>
      <c r="J583" s="120">
        <v>140</v>
      </c>
      <c r="K583" s="120">
        <v>2</v>
      </c>
      <c r="L583" s="120">
        <v>50</v>
      </c>
      <c r="M583" s="120">
        <v>15</v>
      </c>
      <c r="N583" s="120">
        <v>40</v>
      </c>
      <c r="O583" s="120">
        <v>2</v>
      </c>
      <c r="P583" s="120">
        <v>20</v>
      </c>
      <c r="Q583" s="120">
        <v>440</v>
      </c>
      <c r="R583" s="120">
        <v>347.29998779296898</v>
      </c>
      <c r="S583" s="148">
        <v>21.299999237060501</v>
      </c>
      <c r="T583" s="120">
        <v>65</v>
      </c>
      <c r="U583" s="120">
        <v>13</v>
      </c>
      <c r="V583" s="120">
        <v>-9999</v>
      </c>
      <c r="W583" s="120">
        <v>-9999</v>
      </c>
      <c r="X583" s="120">
        <v>-9999</v>
      </c>
      <c r="Y583" s="120">
        <v>-9999</v>
      </c>
      <c r="Z583" s="120">
        <v>-9999</v>
      </c>
      <c r="AA583" s="120">
        <v>68</v>
      </c>
      <c r="AB583" s="120">
        <v>14.5</v>
      </c>
      <c r="AC583" s="120">
        <v>582</v>
      </c>
      <c r="AD583" s="120">
        <v>1854</v>
      </c>
      <c r="AE583" s="120">
        <v>-9999</v>
      </c>
      <c r="AF583" s="120">
        <v>-9999</v>
      </c>
      <c r="AG583" s="120">
        <v>-9999</v>
      </c>
    </row>
    <row r="584" spans="1:33" x14ac:dyDescent="0.25">
      <c r="A584" s="120">
        <v>583</v>
      </c>
      <c r="B584" s="120" t="b">
        <v>0</v>
      </c>
      <c r="C584" s="120">
        <v>0</v>
      </c>
      <c r="D584" s="61">
        <v>1</v>
      </c>
      <c r="E584" s="120">
        <v>1</v>
      </c>
      <c r="F584" s="120" t="s">
        <v>183</v>
      </c>
      <c r="G584" s="55">
        <v>400</v>
      </c>
      <c r="H584" s="120">
        <v>1629</v>
      </c>
      <c r="I584" s="57">
        <v>140</v>
      </c>
      <c r="J584" s="120">
        <v>140</v>
      </c>
      <c r="K584" s="120">
        <v>3</v>
      </c>
      <c r="L584" s="120">
        <v>40</v>
      </c>
      <c r="M584" s="120">
        <v>15</v>
      </c>
      <c r="N584" s="120">
        <v>40</v>
      </c>
      <c r="O584" s="120">
        <v>2</v>
      </c>
      <c r="P584" s="120">
        <v>16.666999816894499</v>
      </c>
      <c r="Q584" s="120">
        <v>440</v>
      </c>
      <c r="R584" s="120">
        <v>347.29998779296898</v>
      </c>
      <c r="S584" s="148">
        <v>21.299999237060501</v>
      </c>
      <c r="T584" s="120">
        <v>57</v>
      </c>
      <c r="U584" s="120">
        <v>13</v>
      </c>
      <c r="V584" s="120">
        <v>-9999</v>
      </c>
      <c r="W584" s="120">
        <v>-9999</v>
      </c>
      <c r="X584" s="120">
        <v>-9999</v>
      </c>
      <c r="Y584" s="120">
        <v>-9999</v>
      </c>
      <c r="Z584" s="120">
        <v>-9999</v>
      </c>
      <c r="AA584" s="120">
        <v>68</v>
      </c>
      <c r="AB584" s="120">
        <v>14.5</v>
      </c>
      <c r="AC584" s="120">
        <v>583</v>
      </c>
      <c r="AD584" s="120">
        <v>1855</v>
      </c>
      <c r="AE584" s="120">
        <v>-9999</v>
      </c>
      <c r="AF584" s="120">
        <v>-9999</v>
      </c>
      <c r="AG584" s="120">
        <v>-9999</v>
      </c>
    </row>
    <row r="585" spans="1:33" x14ac:dyDescent="0.25">
      <c r="A585" s="120">
        <v>584</v>
      </c>
      <c r="B585" s="120" t="b">
        <v>0</v>
      </c>
      <c r="C585" s="120">
        <v>0</v>
      </c>
      <c r="D585" s="61">
        <v>1</v>
      </c>
      <c r="E585" s="120">
        <v>1</v>
      </c>
      <c r="F585" s="120" t="s">
        <v>183</v>
      </c>
      <c r="G585" s="55">
        <v>400</v>
      </c>
      <c r="H585" s="120">
        <v>1555</v>
      </c>
      <c r="I585" s="57">
        <v>140</v>
      </c>
      <c r="J585" s="120">
        <v>150</v>
      </c>
      <c r="K585" s="120">
        <v>4</v>
      </c>
      <c r="L585" s="120">
        <v>100</v>
      </c>
      <c r="M585" s="120">
        <v>15</v>
      </c>
      <c r="N585" s="120">
        <v>40</v>
      </c>
      <c r="O585" s="120">
        <v>2</v>
      </c>
      <c r="P585" s="120">
        <v>-9999</v>
      </c>
      <c r="Q585" s="120">
        <v>420</v>
      </c>
      <c r="R585" s="120">
        <v>331.60000610351602</v>
      </c>
      <c r="S585" s="148">
        <v>21.299999237060501</v>
      </c>
      <c r="T585" s="120">
        <v>-9999</v>
      </c>
      <c r="U585" s="120">
        <v>13</v>
      </c>
      <c r="V585" s="120">
        <v>-9999</v>
      </c>
      <c r="W585" s="120">
        <v>-9999</v>
      </c>
      <c r="X585" s="120">
        <v>-9999</v>
      </c>
      <c r="Y585" s="120">
        <v>-9999</v>
      </c>
      <c r="Z585" s="120">
        <v>-9999</v>
      </c>
      <c r="AA585" s="120">
        <v>68</v>
      </c>
      <c r="AB585" s="120">
        <v>14.5</v>
      </c>
      <c r="AC585" s="120">
        <v>584</v>
      </c>
      <c r="AD585" s="120">
        <v>1856</v>
      </c>
      <c r="AE585" s="120">
        <v>-9999</v>
      </c>
      <c r="AF585" s="120">
        <v>-9999</v>
      </c>
      <c r="AG585" s="120">
        <v>-9999</v>
      </c>
    </row>
    <row r="586" spans="1:33" x14ac:dyDescent="0.25">
      <c r="A586" s="120">
        <v>585</v>
      </c>
      <c r="B586" s="120" t="b">
        <v>0</v>
      </c>
      <c r="C586" s="120">
        <v>0</v>
      </c>
      <c r="D586" s="61">
        <v>1</v>
      </c>
      <c r="E586" s="120">
        <v>1</v>
      </c>
      <c r="F586" s="120" t="s">
        <v>183</v>
      </c>
      <c r="G586" s="55">
        <v>400</v>
      </c>
      <c r="H586" s="120">
        <v>1555</v>
      </c>
      <c r="I586" s="57">
        <v>140</v>
      </c>
      <c r="J586" s="120">
        <v>150</v>
      </c>
      <c r="K586" s="120">
        <v>11</v>
      </c>
      <c r="L586" s="120">
        <v>60</v>
      </c>
      <c r="M586" s="120">
        <v>15</v>
      </c>
      <c r="N586" s="120">
        <v>40</v>
      </c>
      <c r="O586" s="120">
        <v>2</v>
      </c>
      <c r="P586" s="120">
        <v>25</v>
      </c>
      <c r="Q586" s="120">
        <v>420</v>
      </c>
      <c r="R586" s="120">
        <v>331.60000610351602</v>
      </c>
      <c r="S586" s="148">
        <v>21.299999237060501</v>
      </c>
      <c r="T586" s="120">
        <v>70</v>
      </c>
      <c r="U586" s="120">
        <v>13</v>
      </c>
      <c r="V586" s="120">
        <v>-9999</v>
      </c>
      <c r="W586" s="120">
        <v>-9999</v>
      </c>
      <c r="X586" s="120">
        <v>-9999</v>
      </c>
      <c r="Y586" s="120">
        <v>-9999</v>
      </c>
      <c r="Z586" s="120">
        <v>-9999</v>
      </c>
      <c r="AA586" s="120">
        <v>68</v>
      </c>
      <c r="AB586" s="120">
        <v>14.5</v>
      </c>
      <c r="AC586" s="120">
        <v>585</v>
      </c>
      <c r="AD586" s="120">
        <v>1857</v>
      </c>
      <c r="AE586" s="120">
        <v>-9999</v>
      </c>
      <c r="AF586" s="120">
        <v>-9999</v>
      </c>
      <c r="AG586" s="120">
        <v>-9999</v>
      </c>
    </row>
    <row r="587" spans="1:33" x14ac:dyDescent="0.25">
      <c r="A587" s="120">
        <v>586</v>
      </c>
      <c r="B587" s="120" t="b">
        <v>0</v>
      </c>
      <c r="C587" s="120">
        <v>0</v>
      </c>
      <c r="D587" s="61">
        <v>1</v>
      </c>
      <c r="E587" s="120">
        <v>1</v>
      </c>
      <c r="F587" s="120" t="s">
        <v>183</v>
      </c>
      <c r="G587" s="55">
        <v>400</v>
      </c>
      <c r="H587" s="120">
        <v>1432</v>
      </c>
      <c r="I587" s="57">
        <v>150</v>
      </c>
      <c r="J587" s="120">
        <v>160</v>
      </c>
      <c r="K587" s="120">
        <v>1</v>
      </c>
      <c r="L587" s="120">
        <v>50</v>
      </c>
      <c r="M587" s="120">
        <v>15</v>
      </c>
      <c r="N587" s="120">
        <v>40</v>
      </c>
      <c r="O587" s="120">
        <v>2</v>
      </c>
      <c r="P587" s="120">
        <v>5</v>
      </c>
      <c r="Q587" s="120">
        <v>420</v>
      </c>
      <c r="R587" s="120">
        <v>331.60000610351602</v>
      </c>
      <c r="S587" s="148">
        <v>23.200000762939499</v>
      </c>
      <c r="T587" s="120">
        <v>65</v>
      </c>
      <c r="U587" s="120">
        <v>13</v>
      </c>
      <c r="V587" s="120">
        <v>-9999</v>
      </c>
      <c r="W587" s="120">
        <v>-9999</v>
      </c>
      <c r="X587" s="120">
        <v>-9999</v>
      </c>
      <c r="Y587" s="120">
        <v>-9999</v>
      </c>
      <c r="Z587" s="120">
        <v>-9999</v>
      </c>
      <c r="AA587" s="120">
        <v>68</v>
      </c>
      <c r="AB587" s="120">
        <v>14.5</v>
      </c>
      <c r="AC587" s="120">
        <v>586</v>
      </c>
      <c r="AD587" s="120">
        <v>1858</v>
      </c>
      <c r="AE587" s="120">
        <v>-9999</v>
      </c>
      <c r="AF587" s="120">
        <v>-9999</v>
      </c>
      <c r="AG587" s="120">
        <v>-9999</v>
      </c>
    </row>
    <row r="588" spans="1:33" x14ac:dyDescent="0.25">
      <c r="A588" s="120">
        <v>587</v>
      </c>
      <c r="B588" s="120" t="b">
        <v>0</v>
      </c>
      <c r="C588" s="120">
        <v>0</v>
      </c>
      <c r="D588" s="61">
        <v>1</v>
      </c>
      <c r="E588" s="120">
        <v>1</v>
      </c>
      <c r="F588" s="120" t="s">
        <v>183</v>
      </c>
      <c r="G588" s="55">
        <v>400</v>
      </c>
      <c r="H588" s="120">
        <v>1500</v>
      </c>
      <c r="I588" s="57">
        <v>150</v>
      </c>
      <c r="J588" s="120">
        <v>150</v>
      </c>
      <c r="K588" s="120">
        <v>2</v>
      </c>
      <c r="L588" s="120">
        <v>50</v>
      </c>
      <c r="M588" s="120">
        <v>15</v>
      </c>
      <c r="N588" s="120">
        <v>40</v>
      </c>
      <c r="O588" s="120">
        <v>2</v>
      </c>
      <c r="P588" s="120">
        <v>20</v>
      </c>
      <c r="Q588" s="120">
        <v>440</v>
      </c>
      <c r="R588" s="120">
        <v>347.29998779296898</v>
      </c>
      <c r="S588" s="148">
        <v>23.200000762939499</v>
      </c>
      <c r="T588" s="120">
        <v>65</v>
      </c>
      <c r="U588" s="120">
        <v>13</v>
      </c>
      <c r="V588" s="120">
        <v>-9999</v>
      </c>
      <c r="W588" s="120">
        <v>-9999</v>
      </c>
      <c r="X588" s="120">
        <v>-9999</v>
      </c>
      <c r="Y588" s="120">
        <v>-9999</v>
      </c>
      <c r="Z588" s="120">
        <v>-9999</v>
      </c>
      <c r="AA588" s="120">
        <v>68</v>
      </c>
      <c r="AB588" s="120">
        <v>14.5</v>
      </c>
      <c r="AC588" s="120">
        <v>587</v>
      </c>
      <c r="AD588" s="120">
        <v>1859</v>
      </c>
      <c r="AE588" s="120">
        <v>-9999</v>
      </c>
      <c r="AF588" s="120">
        <v>-9999</v>
      </c>
      <c r="AG588" s="120">
        <v>-9999</v>
      </c>
    </row>
    <row r="589" spans="1:33" x14ac:dyDescent="0.25">
      <c r="A589" s="120">
        <v>588</v>
      </c>
      <c r="B589" s="120" t="b">
        <v>0</v>
      </c>
      <c r="C589" s="120">
        <v>0</v>
      </c>
      <c r="D589" s="61">
        <v>1</v>
      </c>
      <c r="E589" s="120">
        <v>1</v>
      </c>
      <c r="F589" s="120" t="s">
        <v>183</v>
      </c>
      <c r="G589" s="55">
        <v>400</v>
      </c>
      <c r="H589" s="120">
        <v>1500</v>
      </c>
      <c r="I589" s="57">
        <v>150</v>
      </c>
      <c r="J589" s="120">
        <v>150</v>
      </c>
      <c r="K589" s="120">
        <v>3</v>
      </c>
      <c r="L589" s="120">
        <v>40</v>
      </c>
      <c r="M589" s="120">
        <v>15</v>
      </c>
      <c r="N589" s="120">
        <v>40</v>
      </c>
      <c r="O589" s="120">
        <v>2</v>
      </c>
      <c r="P589" s="120">
        <v>16.666999816894499</v>
      </c>
      <c r="Q589" s="120">
        <v>440</v>
      </c>
      <c r="R589" s="120">
        <v>347.29998779296898</v>
      </c>
      <c r="S589" s="148">
        <v>23.200000762939499</v>
      </c>
      <c r="T589" s="120">
        <v>57</v>
      </c>
      <c r="U589" s="120">
        <v>13</v>
      </c>
      <c r="V589" s="120">
        <v>-9999</v>
      </c>
      <c r="W589" s="120">
        <v>-9999</v>
      </c>
      <c r="X589" s="120">
        <v>-9999</v>
      </c>
      <c r="Y589" s="120">
        <v>-9999</v>
      </c>
      <c r="Z589" s="120">
        <v>-9999</v>
      </c>
      <c r="AA589" s="120">
        <v>68</v>
      </c>
      <c r="AB589" s="120">
        <v>14.5</v>
      </c>
      <c r="AC589" s="120">
        <v>588</v>
      </c>
      <c r="AD589" s="120">
        <v>1860</v>
      </c>
      <c r="AE589" s="120">
        <v>-9999</v>
      </c>
      <c r="AF589" s="120">
        <v>-9999</v>
      </c>
      <c r="AG589" s="120">
        <v>-9999</v>
      </c>
    </row>
    <row r="590" spans="1:33" x14ac:dyDescent="0.25">
      <c r="A590" s="120">
        <v>589</v>
      </c>
      <c r="B590" s="120" t="b">
        <v>0</v>
      </c>
      <c r="C590" s="120">
        <v>0</v>
      </c>
      <c r="D590" s="61">
        <v>1</v>
      </c>
      <c r="E590" s="120">
        <v>1</v>
      </c>
      <c r="F590" s="120" t="s">
        <v>183</v>
      </c>
      <c r="G590" s="55">
        <v>400</v>
      </c>
      <c r="H590" s="120">
        <v>1432</v>
      </c>
      <c r="I590" s="57">
        <v>150</v>
      </c>
      <c r="J590" s="120">
        <v>160</v>
      </c>
      <c r="K590" s="120">
        <v>4</v>
      </c>
      <c r="L590" s="120">
        <v>100</v>
      </c>
      <c r="M590" s="120">
        <v>15</v>
      </c>
      <c r="N590" s="120">
        <v>40</v>
      </c>
      <c r="O590" s="120">
        <v>2</v>
      </c>
      <c r="P590" s="120">
        <v>-9999</v>
      </c>
      <c r="Q590" s="120">
        <v>420</v>
      </c>
      <c r="R590" s="120">
        <v>331.60000610351602</v>
      </c>
      <c r="S590" s="148">
        <v>23.200000762939499</v>
      </c>
      <c r="T590" s="120">
        <v>-9999</v>
      </c>
      <c r="U590" s="120">
        <v>13</v>
      </c>
      <c r="V590" s="120">
        <v>-9999</v>
      </c>
      <c r="W590" s="120">
        <v>-9999</v>
      </c>
      <c r="X590" s="120">
        <v>-9999</v>
      </c>
      <c r="Y590" s="120">
        <v>-9999</v>
      </c>
      <c r="Z590" s="120">
        <v>-9999</v>
      </c>
      <c r="AA590" s="120">
        <v>68</v>
      </c>
      <c r="AB590" s="120">
        <v>14.5</v>
      </c>
      <c r="AC590" s="120">
        <v>589</v>
      </c>
      <c r="AD590" s="120">
        <v>1861</v>
      </c>
      <c r="AE590" s="120">
        <v>-9999</v>
      </c>
      <c r="AF590" s="120">
        <v>-9999</v>
      </c>
      <c r="AG590" s="120">
        <v>-9999</v>
      </c>
    </row>
    <row r="591" spans="1:33" x14ac:dyDescent="0.25">
      <c r="A591" s="120">
        <v>590</v>
      </c>
      <c r="B591" s="120" t="b">
        <v>0</v>
      </c>
      <c r="C591" s="120">
        <v>0</v>
      </c>
      <c r="D591" s="61">
        <v>1</v>
      </c>
      <c r="E591" s="120">
        <v>1</v>
      </c>
      <c r="F591" s="120" t="s">
        <v>183</v>
      </c>
      <c r="G591" s="55">
        <v>400</v>
      </c>
      <c r="H591" s="120">
        <v>1432</v>
      </c>
      <c r="I591" s="57">
        <v>150</v>
      </c>
      <c r="J591" s="120">
        <v>160</v>
      </c>
      <c r="K591" s="120">
        <v>11</v>
      </c>
      <c r="L591" s="120">
        <v>60</v>
      </c>
      <c r="M591" s="120">
        <v>15</v>
      </c>
      <c r="N591" s="120">
        <v>40</v>
      </c>
      <c r="O591" s="120">
        <v>2</v>
      </c>
      <c r="P591" s="120">
        <v>25</v>
      </c>
      <c r="Q591" s="120">
        <v>420</v>
      </c>
      <c r="R591" s="120">
        <v>331.60000610351602</v>
      </c>
      <c r="S591" s="148">
        <v>23.200000762939499</v>
      </c>
      <c r="T591" s="120">
        <v>70</v>
      </c>
      <c r="U591" s="120">
        <v>13</v>
      </c>
      <c r="V591" s="120">
        <v>-9999</v>
      </c>
      <c r="W591" s="120">
        <v>-9999</v>
      </c>
      <c r="X591" s="120">
        <v>-9999</v>
      </c>
      <c r="Y591" s="120">
        <v>-9999</v>
      </c>
      <c r="Z591" s="120">
        <v>-9999</v>
      </c>
      <c r="AA591" s="120">
        <v>68</v>
      </c>
      <c r="AB591" s="120">
        <v>14.5</v>
      </c>
      <c r="AC591" s="120">
        <v>590</v>
      </c>
      <c r="AD591" s="120">
        <v>1862</v>
      </c>
      <c r="AE591" s="120">
        <v>-9999</v>
      </c>
      <c r="AF591" s="120">
        <v>-9999</v>
      </c>
      <c r="AG591" s="120">
        <v>-9999</v>
      </c>
    </row>
    <row r="592" spans="1:33" x14ac:dyDescent="0.25">
      <c r="A592" s="120">
        <v>591</v>
      </c>
      <c r="B592" s="120" t="b">
        <v>0</v>
      </c>
      <c r="C592" s="120">
        <v>0</v>
      </c>
      <c r="D592" s="61">
        <v>1</v>
      </c>
      <c r="E592" s="120">
        <v>1</v>
      </c>
      <c r="F592" s="120" t="s">
        <v>184</v>
      </c>
      <c r="G592" s="55">
        <v>450</v>
      </c>
      <c r="H592" s="120">
        <v>1957</v>
      </c>
      <c r="I592" s="57">
        <v>100</v>
      </c>
      <c r="J592" s="120">
        <v>110</v>
      </c>
      <c r="K592" s="120">
        <v>1</v>
      </c>
      <c r="L592" s="120">
        <v>50</v>
      </c>
      <c r="M592" s="120">
        <v>15</v>
      </c>
      <c r="N592" s="120">
        <v>40</v>
      </c>
      <c r="O592" s="120">
        <v>2</v>
      </c>
      <c r="P592" s="120">
        <v>5</v>
      </c>
      <c r="Q592" s="120">
        <v>472.5</v>
      </c>
      <c r="R592" s="120">
        <v>371</v>
      </c>
      <c r="S592" s="148">
        <v>19</v>
      </c>
      <c r="T592" s="120">
        <v>65</v>
      </c>
      <c r="U592" s="120">
        <v>17</v>
      </c>
      <c r="V592" s="120">
        <v>-9999</v>
      </c>
      <c r="W592" s="120">
        <v>-9999</v>
      </c>
      <c r="X592" s="120">
        <v>-9999</v>
      </c>
      <c r="Y592" s="120">
        <v>-9999</v>
      </c>
      <c r="Z592" s="120">
        <v>-9999</v>
      </c>
      <c r="AA592" s="120">
        <v>68</v>
      </c>
      <c r="AB592" s="120">
        <v>14.5</v>
      </c>
      <c r="AC592" s="120">
        <v>591</v>
      </c>
      <c r="AD592" s="120">
        <v>1863</v>
      </c>
      <c r="AE592" s="120">
        <v>-9999</v>
      </c>
      <c r="AF592" s="120">
        <v>-9999</v>
      </c>
      <c r="AG592" s="120">
        <v>-9999</v>
      </c>
    </row>
    <row r="593" spans="1:33" x14ac:dyDescent="0.25">
      <c r="A593" s="120">
        <v>592</v>
      </c>
      <c r="B593" s="120" t="b">
        <v>0</v>
      </c>
      <c r="C593" s="120">
        <v>0</v>
      </c>
      <c r="D593" s="61">
        <v>1</v>
      </c>
      <c r="E593" s="120">
        <v>1</v>
      </c>
      <c r="F593" s="120" t="s">
        <v>184</v>
      </c>
      <c r="G593" s="55">
        <v>450</v>
      </c>
      <c r="H593" s="120">
        <v>2050</v>
      </c>
      <c r="I593" s="57">
        <v>100</v>
      </c>
      <c r="J593" s="120">
        <v>100</v>
      </c>
      <c r="K593" s="120">
        <v>2</v>
      </c>
      <c r="L593" s="120">
        <v>50</v>
      </c>
      <c r="M593" s="120">
        <v>15</v>
      </c>
      <c r="N593" s="120">
        <v>40</v>
      </c>
      <c r="O593" s="120">
        <v>2</v>
      </c>
      <c r="P593" s="120">
        <v>20</v>
      </c>
      <c r="Q593" s="120">
        <v>495</v>
      </c>
      <c r="R593" s="120">
        <v>388.70001220703102</v>
      </c>
      <c r="S593" s="148">
        <v>19</v>
      </c>
      <c r="T593" s="120">
        <v>65</v>
      </c>
      <c r="U593" s="120">
        <v>17</v>
      </c>
      <c r="V593" s="120">
        <v>-9999</v>
      </c>
      <c r="W593" s="120">
        <v>-9999</v>
      </c>
      <c r="X593" s="120">
        <v>-9999</v>
      </c>
      <c r="Y593" s="120">
        <v>-9999</v>
      </c>
      <c r="Z593" s="120">
        <v>-9999</v>
      </c>
      <c r="AA593" s="120">
        <v>68</v>
      </c>
      <c r="AB593" s="120">
        <v>14.5</v>
      </c>
      <c r="AC593" s="120">
        <v>592</v>
      </c>
      <c r="AD593" s="120">
        <v>1864</v>
      </c>
      <c r="AE593" s="120">
        <v>-9999</v>
      </c>
      <c r="AF593" s="120">
        <v>-9999</v>
      </c>
      <c r="AG593" s="120">
        <v>-9999</v>
      </c>
    </row>
    <row r="594" spans="1:33" x14ac:dyDescent="0.25">
      <c r="A594" s="120">
        <v>593</v>
      </c>
      <c r="B594" s="120" t="b">
        <v>0</v>
      </c>
      <c r="C594" s="120">
        <v>0</v>
      </c>
      <c r="D594" s="61">
        <v>1</v>
      </c>
      <c r="E594" s="120">
        <v>1</v>
      </c>
      <c r="F594" s="120" t="s">
        <v>184</v>
      </c>
      <c r="G594" s="55">
        <v>450</v>
      </c>
      <c r="H594" s="120">
        <v>2050</v>
      </c>
      <c r="I594" s="57">
        <v>100</v>
      </c>
      <c r="J594" s="120">
        <v>100</v>
      </c>
      <c r="K594" s="120">
        <v>3</v>
      </c>
      <c r="L594" s="120">
        <v>40</v>
      </c>
      <c r="M594" s="120">
        <v>15</v>
      </c>
      <c r="N594" s="120">
        <v>40</v>
      </c>
      <c r="O594" s="120">
        <v>2</v>
      </c>
      <c r="P594" s="120">
        <v>16.666999816894499</v>
      </c>
      <c r="Q594" s="120">
        <v>495</v>
      </c>
      <c r="R594" s="120">
        <v>388.70001220703102</v>
      </c>
      <c r="S594" s="148">
        <v>19</v>
      </c>
      <c r="T594" s="120">
        <v>57</v>
      </c>
      <c r="U594" s="120">
        <v>17</v>
      </c>
      <c r="V594" s="120">
        <v>-9999</v>
      </c>
      <c r="W594" s="120">
        <v>-9999</v>
      </c>
      <c r="X594" s="120">
        <v>-9999</v>
      </c>
      <c r="Y594" s="120">
        <v>-9999</v>
      </c>
      <c r="Z594" s="120">
        <v>-9999</v>
      </c>
      <c r="AA594" s="120">
        <v>68</v>
      </c>
      <c r="AB594" s="120">
        <v>14.5</v>
      </c>
      <c r="AC594" s="120">
        <v>593</v>
      </c>
      <c r="AD594" s="120">
        <v>1865</v>
      </c>
      <c r="AE594" s="120">
        <v>-9999</v>
      </c>
      <c r="AF594" s="120">
        <v>-9999</v>
      </c>
      <c r="AG594" s="120">
        <v>-9999</v>
      </c>
    </row>
    <row r="595" spans="1:33" x14ac:dyDescent="0.25">
      <c r="A595" s="120">
        <v>594</v>
      </c>
      <c r="B595" s="120" t="b">
        <v>0</v>
      </c>
      <c r="C595" s="120">
        <v>0</v>
      </c>
      <c r="D595" s="61">
        <v>1</v>
      </c>
      <c r="E595" s="120">
        <v>1</v>
      </c>
      <c r="F595" s="120" t="s">
        <v>184</v>
      </c>
      <c r="G595" s="55">
        <v>450</v>
      </c>
      <c r="H595" s="120">
        <v>1957</v>
      </c>
      <c r="I595" s="57">
        <v>100</v>
      </c>
      <c r="J595" s="120">
        <v>110</v>
      </c>
      <c r="K595" s="120">
        <v>4</v>
      </c>
      <c r="L595" s="120">
        <v>100</v>
      </c>
      <c r="M595" s="120">
        <v>15</v>
      </c>
      <c r="N595" s="120">
        <v>40</v>
      </c>
      <c r="O595" s="120">
        <v>2</v>
      </c>
      <c r="P595" s="120">
        <v>-9999</v>
      </c>
      <c r="Q595" s="120">
        <v>472.5</v>
      </c>
      <c r="R595" s="120">
        <v>371</v>
      </c>
      <c r="S595" s="148">
        <v>19</v>
      </c>
      <c r="T595" s="120">
        <v>-9999</v>
      </c>
      <c r="U595" s="120">
        <v>17</v>
      </c>
      <c r="V595" s="120">
        <v>-9999</v>
      </c>
      <c r="W595" s="120">
        <v>-9999</v>
      </c>
      <c r="X595" s="120">
        <v>-9999</v>
      </c>
      <c r="Y595" s="120">
        <v>-9999</v>
      </c>
      <c r="Z595" s="120">
        <v>-9999</v>
      </c>
      <c r="AA595" s="120">
        <v>68</v>
      </c>
      <c r="AB595" s="120">
        <v>14.5</v>
      </c>
      <c r="AC595" s="120">
        <v>594</v>
      </c>
      <c r="AD595" s="120">
        <v>1866</v>
      </c>
      <c r="AE595" s="120">
        <v>-9999</v>
      </c>
      <c r="AF595" s="120">
        <v>-9999</v>
      </c>
      <c r="AG595" s="120">
        <v>-9999</v>
      </c>
    </row>
    <row r="596" spans="1:33" x14ac:dyDescent="0.25">
      <c r="A596" s="120">
        <v>595</v>
      </c>
      <c r="B596" s="120" t="b">
        <v>0</v>
      </c>
      <c r="C596" s="120">
        <v>0</v>
      </c>
      <c r="D596" s="61">
        <v>1</v>
      </c>
      <c r="E596" s="120">
        <v>1</v>
      </c>
      <c r="F596" s="120" t="s">
        <v>184</v>
      </c>
      <c r="G596" s="55">
        <v>450</v>
      </c>
      <c r="H596" s="120">
        <v>1957</v>
      </c>
      <c r="I596" s="57">
        <v>100</v>
      </c>
      <c r="J596" s="120">
        <v>110</v>
      </c>
      <c r="K596" s="120">
        <v>11</v>
      </c>
      <c r="L596" s="120">
        <v>60</v>
      </c>
      <c r="M596" s="120">
        <v>15</v>
      </c>
      <c r="N596" s="120">
        <v>40</v>
      </c>
      <c r="O596" s="120">
        <v>2</v>
      </c>
      <c r="P596" s="120">
        <v>25</v>
      </c>
      <c r="Q596" s="120">
        <v>472.5</v>
      </c>
      <c r="R596" s="120">
        <v>371</v>
      </c>
      <c r="S596" s="148">
        <v>19</v>
      </c>
      <c r="T596" s="120">
        <v>70</v>
      </c>
      <c r="U596" s="120">
        <v>17</v>
      </c>
      <c r="V596" s="120">
        <v>-9999</v>
      </c>
      <c r="W596" s="120">
        <v>-9999</v>
      </c>
      <c r="X596" s="120">
        <v>-9999</v>
      </c>
      <c r="Y596" s="120">
        <v>-9999</v>
      </c>
      <c r="Z596" s="120">
        <v>-9999</v>
      </c>
      <c r="AA596" s="120">
        <v>68</v>
      </c>
      <c r="AB596" s="120">
        <v>14.5</v>
      </c>
      <c r="AC596" s="120">
        <v>595</v>
      </c>
      <c r="AD596" s="120">
        <v>1867</v>
      </c>
      <c r="AE596" s="120">
        <v>-9999</v>
      </c>
      <c r="AF596" s="120">
        <v>-9999</v>
      </c>
      <c r="AG596" s="120">
        <v>-9999</v>
      </c>
    </row>
    <row r="597" spans="1:33" x14ac:dyDescent="0.25">
      <c r="A597" s="120">
        <v>596</v>
      </c>
      <c r="B597" s="120" t="b">
        <v>0</v>
      </c>
      <c r="C597" s="120">
        <v>0</v>
      </c>
      <c r="D597" s="61">
        <v>1</v>
      </c>
      <c r="E597" s="120">
        <v>1</v>
      </c>
      <c r="F597" s="120" t="s">
        <v>184</v>
      </c>
      <c r="G597" s="55">
        <v>450</v>
      </c>
      <c r="H597" s="120">
        <v>2037</v>
      </c>
      <c r="I597" s="57">
        <v>115</v>
      </c>
      <c r="J597" s="120">
        <v>125</v>
      </c>
      <c r="K597" s="120">
        <v>1</v>
      </c>
      <c r="L597" s="120">
        <v>50</v>
      </c>
      <c r="M597" s="120">
        <v>15</v>
      </c>
      <c r="N597" s="120">
        <v>40</v>
      </c>
      <c r="O597" s="120">
        <v>2</v>
      </c>
      <c r="P597" s="120">
        <v>5</v>
      </c>
      <c r="Q597" s="120">
        <v>472.5</v>
      </c>
      <c r="R597" s="120">
        <v>371</v>
      </c>
      <c r="S597" s="148">
        <v>18.200000762939499</v>
      </c>
      <c r="T597" s="120">
        <v>65</v>
      </c>
      <c r="U597" s="120">
        <v>15</v>
      </c>
      <c r="V597" s="120">
        <v>-9999</v>
      </c>
      <c r="W597" s="120">
        <v>-9999</v>
      </c>
      <c r="X597" s="120">
        <v>-9999</v>
      </c>
      <c r="Y597" s="120">
        <v>-9999</v>
      </c>
      <c r="Z597" s="120">
        <v>-9999</v>
      </c>
      <c r="AA597" s="120">
        <v>68</v>
      </c>
      <c r="AB597" s="120">
        <v>14.5</v>
      </c>
      <c r="AC597" s="120">
        <v>596</v>
      </c>
      <c r="AD597" s="120">
        <v>1868</v>
      </c>
      <c r="AE597" s="120">
        <v>-9999</v>
      </c>
      <c r="AF597" s="120">
        <v>-9999</v>
      </c>
      <c r="AG597" s="120">
        <v>-9999</v>
      </c>
    </row>
    <row r="598" spans="1:33" x14ac:dyDescent="0.25">
      <c r="A598" s="120">
        <v>597</v>
      </c>
      <c r="B598" s="120" t="b">
        <v>0</v>
      </c>
      <c r="C598" s="120">
        <v>0</v>
      </c>
      <c r="D598" s="61">
        <v>1</v>
      </c>
      <c r="E598" s="120">
        <v>1</v>
      </c>
      <c r="F598" s="120" t="s">
        <v>184</v>
      </c>
      <c r="G598" s="55">
        <v>450</v>
      </c>
      <c r="H598" s="120">
        <v>2134</v>
      </c>
      <c r="I598" s="57">
        <v>115</v>
      </c>
      <c r="J598" s="120">
        <v>115</v>
      </c>
      <c r="K598" s="120">
        <v>2</v>
      </c>
      <c r="L598" s="120">
        <v>50</v>
      </c>
      <c r="M598" s="120">
        <v>15</v>
      </c>
      <c r="N598" s="120">
        <v>40</v>
      </c>
      <c r="O598" s="120">
        <v>2</v>
      </c>
      <c r="P598" s="120">
        <v>20</v>
      </c>
      <c r="Q598" s="120">
        <v>495</v>
      </c>
      <c r="R598" s="120">
        <v>388.70001220703102</v>
      </c>
      <c r="S598" s="148">
        <v>18.200000762939499</v>
      </c>
      <c r="T598" s="120">
        <v>65</v>
      </c>
      <c r="U598" s="120">
        <v>15</v>
      </c>
      <c r="V598" s="120">
        <v>-9999</v>
      </c>
      <c r="W598" s="120">
        <v>-9999</v>
      </c>
      <c r="X598" s="120">
        <v>-9999</v>
      </c>
      <c r="Y598" s="120">
        <v>-9999</v>
      </c>
      <c r="Z598" s="120">
        <v>-9999</v>
      </c>
      <c r="AA598" s="120">
        <v>68</v>
      </c>
      <c r="AB598" s="120">
        <v>14.5</v>
      </c>
      <c r="AC598" s="120">
        <v>597</v>
      </c>
      <c r="AD598" s="120">
        <v>1869</v>
      </c>
      <c r="AE598" s="120">
        <v>-9999</v>
      </c>
      <c r="AF598" s="120">
        <v>-9999</v>
      </c>
      <c r="AG598" s="120">
        <v>-9999</v>
      </c>
    </row>
    <row r="599" spans="1:33" x14ac:dyDescent="0.25">
      <c r="A599" s="120">
        <v>598</v>
      </c>
      <c r="B599" s="120" t="b">
        <v>0</v>
      </c>
      <c r="C599" s="120">
        <v>0</v>
      </c>
      <c r="D599" s="61">
        <v>1</v>
      </c>
      <c r="E599" s="120">
        <v>1</v>
      </c>
      <c r="F599" s="120" t="s">
        <v>184</v>
      </c>
      <c r="G599" s="55">
        <v>450</v>
      </c>
      <c r="H599" s="120">
        <v>2134</v>
      </c>
      <c r="I599" s="57">
        <v>115</v>
      </c>
      <c r="J599" s="120">
        <v>115</v>
      </c>
      <c r="K599" s="120">
        <v>3</v>
      </c>
      <c r="L599" s="120">
        <v>40</v>
      </c>
      <c r="M599" s="120">
        <v>15</v>
      </c>
      <c r="N599" s="120">
        <v>40</v>
      </c>
      <c r="O599" s="120">
        <v>2</v>
      </c>
      <c r="P599" s="120">
        <v>16.666999816894499</v>
      </c>
      <c r="Q599" s="120">
        <v>495</v>
      </c>
      <c r="R599" s="120">
        <v>388.70001220703102</v>
      </c>
      <c r="S599" s="148">
        <v>18.200000762939499</v>
      </c>
      <c r="T599" s="120">
        <v>57</v>
      </c>
      <c r="U599" s="120">
        <v>15</v>
      </c>
      <c r="V599" s="120">
        <v>-9999</v>
      </c>
      <c r="W599" s="120">
        <v>-9999</v>
      </c>
      <c r="X599" s="120">
        <v>-9999</v>
      </c>
      <c r="Y599" s="120">
        <v>-9999</v>
      </c>
      <c r="Z599" s="120">
        <v>-9999</v>
      </c>
      <c r="AA599" s="120">
        <v>68</v>
      </c>
      <c r="AB599" s="120">
        <v>14.5</v>
      </c>
      <c r="AC599" s="120">
        <v>598</v>
      </c>
      <c r="AD599" s="120">
        <v>1870</v>
      </c>
      <c r="AE599" s="120">
        <v>-9999</v>
      </c>
      <c r="AF599" s="120">
        <v>-9999</v>
      </c>
      <c r="AG599" s="120">
        <v>-9999</v>
      </c>
    </row>
    <row r="600" spans="1:33" x14ac:dyDescent="0.25">
      <c r="A600" s="120">
        <v>599</v>
      </c>
      <c r="B600" s="120" t="b">
        <v>0</v>
      </c>
      <c r="C600" s="120">
        <v>0</v>
      </c>
      <c r="D600" s="61">
        <v>1</v>
      </c>
      <c r="E600" s="120">
        <v>1</v>
      </c>
      <c r="F600" s="120" t="s">
        <v>184</v>
      </c>
      <c r="G600" s="55">
        <v>450</v>
      </c>
      <c r="H600" s="120">
        <v>2037</v>
      </c>
      <c r="I600" s="57">
        <v>115</v>
      </c>
      <c r="J600" s="120">
        <v>125</v>
      </c>
      <c r="K600" s="120">
        <v>4</v>
      </c>
      <c r="L600" s="120">
        <v>100</v>
      </c>
      <c r="M600" s="120">
        <v>15</v>
      </c>
      <c r="N600" s="120">
        <v>40</v>
      </c>
      <c r="O600" s="120">
        <v>2</v>
      </c>
      <c r="P600" s="120">
        <v>-9999</v>
      </c>
      <c r="Q600" s="120">
        <v>472.5</v>
      </c>
      <c r="R600" s="120">
        <v>371</v>
      </c>
      <c r="S600" s="148">
        <v>18.200000762939499</v>
      </c>
      <c r="T600" s="120">
        <v>-9999</v>
      </c>
      <c r="U600" s="120">
        <v>15</v>
      </c>
      <c r="V600" s="120">
        <v>-9999</v>
      </c>
      <c r="W600" s="120">
        <v>-9999</v>
      </c>
      <c r="X600" s="120">
        <v>-9999</v>
      </c>
      <c r="Y600" s="120">
        <v>-9999</v>
      </c>
      <c r="Z600" s="120">
        <v>-9999</v>
      </c>
      <c r="AA600" s="120">
        <v>68</v>
      </c>
      <c r="AB600" s="120">
        <v>14.5</v>
      </c>
      <c r="AC600" s="120">
        <v>599</v>
      </c>
      <c r="AD600" s="120">
        <v>1871</v>
      </c>
      <c r="AE600" s="120">
        <v>-9999</v>
      </c>
      <c r="AF600" s="120">
        <v>-9999</v>
      </c>
      <c r="AG600" s="120">
        <v>-9999</v>
      </c>
    </row>
    <row r="601" spans="1:33" x14ac:dyDescent="0.25">
      <c r="A601" s="120">
        <v>600</v>
      </c>
      <c r="B601" s="120" t="b">
        <v>0</v>
      </c>
      <c r="C601" s="120">
        <v>0</v>
      </c>
      <c r="D601" s="61">
        <v>1</v>
      </c>
      <c r="E601" s="120">
        <v>1</v>
      </c>
      <c r="F601" s="120" t="s">
        <v>184</v>
      </c>
      <c r="G601" s="55">
        <v>450</v>
      </c>
      <c r="H601" s="120">
        <v>2037</v>
      </c>
      <c r="I601" s="57">
        <v>115</v>
      </c>
      <c r="J601" s="120">
        <v>125</v>
      </c>
      <c r="K601" s="120">
        <v>11</v>
      </c>
      <c r="L601" s="120">
        <v>60</v>
      </c>
      <c r="M601" s="120">
        <v>15</v>
      </c>
      <c r="N601" s="120">
        <v>40</v>
      </c>
      <c r="O601" s="120">
        <v>2</v>
      </c>
      <c r="P601" s="120">
        <v>25</v>
      </c>
      <c r="Q601" s="120">
        <v>472.5</v>
      </c>
      <c r="R601" s="120">
        <v>371</v>
      </c>
      <c r="S601" s="148">
        <v>18.200000762939499</v>
      </c>
      <c r="T601" s="120">
        <v>70</v>
      </c>
      <c r="U601" s="120">
        <v>15</v>
      </c>
      <c r="V601" s="120">
        <v>-9999</v>
      </c>
      <c r="W601" s="120">
        <v>-9999</v>
      </c>
      <c r="X601" s="120">
        <v>-9999</v>
      </c>
      <c r="Y601" s="120">
        <v>-9999</v>
      </c>
      <c r="Z601" s="120">
        <v>-9999</v>
      </c>
      <c r="AA601" s="120">
        <v>68</v>
      </c>
      <c r="AB601" s="120">
        <v>14.5</v>
      </c>
      <c r="AC601" s="120">
        <v>600</v>
      </c>
      <c r="AD601" s="120">
        <v>1872</v>
      </c>
      <c r="AE601" s="120">
        <v>-9999</v>
      </c>
      <c r="AF601" s="120">
        <v>-9999</v>
      </c>
      <c r="AG601" s="120">
        <v>-9999</v>
      </c>
    </row>
    <row r="602" spans="1:33" x14ac:dyDescent="0.25">
      <c r="A602" s="120">
        <v>601</v>
      </c>
      <c r="B602" s="120" t="b">
        <v>0</v>
      </c>
      <c r="C602" s="120">
        <v>0</v>
      </c>
      <c r="D602" s="61">
        <v>1</v>
      </c>
      <c r="E602" s="120">
        <v>1</v>
      </c>
      <c r="F602" s="120" t="s">
        <v>184</v>
      </c>
      <c r="G602" s="55">
        <v>450</v>
      </c>
      <c r="H602" s="120">
        <v>1800</v>
      </c>
      <c r="I602" s="57">
        <v>125</v>
      </c>
      <c r="J602" s="120">
        <v>135</v>
      </c>
      <c r="K602" s="120">
        <v>1</v>
      </c>
      <c r="L602" s="120">
        <v>50</v>
      </c>
      <c r="M602" s="120">
        <v>15</v>
      </c>
      <c r="N602" s="120">
        <v>40</v>
      </c>
      <c r="O602" s="120">
        <v>2</v>
      </c>
      <c r="P602" s="120">
        <v>5</v>
      </c>
      <c r="Q602" s="120">
        <v>472.5</v>
      </c>
      <c r="R602" s="120">
        <v>371</v>
      </c>
      <c r="S602" s="148">
        <v>20.600000381469702</v>
      </c>
      <c r="T602" s="120">
        <v>65</v>
      </c>
      <c r="U602" s="120">
        <v>14</v>
      </c>
      <c r="V602" s="120">
        <v>-9999</v>
      </c>
      <c r="W602" s="120">
        <v>-9999</v>
      </c>
      <c r="X602" s="120">
        <v>-9999</v>
      </c>
      <c r="Y602" s="120">
        <v>-9999</v>
      </c>
      <c r="Z602" s="120">
        <v>-9999</v>
      </c>
      <c r="AA602" s="120">
        <v>68</v>
      </c>
      <c r="AB602" s="120">
        <v>14.5</v>
      </c>
      <c r="AC602" s="120">
        <v>601</v>
      </c>
      <c r="AD602" s="120">
        <v>1873</v>
      </c>
      <c r="AE602" s="120">
        <v>-9999</v>
      </c>
      <c r="AF602" s="120">
        <v>-9999</v>
      </c>
      <c r="AG602" s="120">
        <v>-9999</v>
      </c>
    </row>
    <row r="603" spans="1:33" x14ac:dyDescent="0.25">
      <c r="A603" s="120">
        <v>602</v>
      </c>
      <c r="B603" s="120" t="b">
        <v>0</v>
      </c>
      <c r="C603" s="120">
        <v>0</v>
      </c>
      <c r="D603" s="61">
        <v>1</v>
      </c>
      <c r="E603" s="120">
        <v>1</v>
      </c>
      <c r="F603" s="120" t="s">
        <v>184</v>
      </c>
      <c r="G603" s="55">
        <v>450</v>
      </c>
      <c r="H603" s="120">
        <v>1886</v>
      </c>
      <c r="I603" s="57">
        <v>125</v>
      </c>
      <c r="J603" s="120">
        <v>125</v>
      </c>
      <c r="K603" s="120">
        <v>2</v>
      </c>
      <c r="L603" s="120">
        <v>50</v>
      </c>
      <c r="M603" s="120">
        <v>15</v>
      </c>
      <c r="N603" s="120">
        <v>40</v>
      </c>
      <c r="O603" s="120">
        <v>2</v>
      </c>
      <c r="P603" s="120">
        <v>20</v>
      </c>
      <c r="Q603" s="120">
        <v>495</v>
      </c>
      <c r="R603" s="120">
        <v>388.70001220703102</v>
      </c>
      <c r="S603" s="148">
        <v>20.600000381469702</v>
      </c>
      <c r="T603" s="120">
        <v>65</v>
      </c>
      <c r="U603" s="120">
        <v>14</v>
      </c>
      <c r="V603" s="120">
        <v>-9999</v>
      </c>
      <c r="W603" s="120">
        <v>-9999</v>
      </c>
      <c r="X603" s="120">
        <v>-9999</v>
      </c>
      <c r="Y603" s="120">
        <v>-9999</v>
      </c>
      <c r="Z603" s="120">
        <v>-9999</v>
      </c>
      <c r="AA603" s="120">
        <v>68</v>
      </c>
      <c r="AB603" s="120">
        <v>14.5</v>
      </c>
      <c r="AC603" s="120">
        <v>602</v>
      </c>
      <c r="AD603" s="120">
        <v>1874</v>
      </c>
      <c r="AE603" s="120">
        <v>-9999</v>
      </c>
      <c r="AF603" s="120">
        <v>-9999</v>
      </c>
      <c r="AG603" s="120">
        <v>-9999</v>
      </c>
    </row>
    <row r="604" spans="1:33" x14ac:dyDescent="0.25">
      <c r="A604" s="120">
        <v>603</v>
      </c>
      <c r="B604" s="120" t="b">
        <v>0</v>
      </c>
      <c r="C604" s="120">
        <v>0</v>
      </c>
      <c r="D604" s="61">
        <v>1</v>
      </c>
      <c r="E604" s="120">
        <v>1</v>
      </c>
      <c r="F604" s="120" t="s">
        <v>184</v>
      </c>
      <c r="G604" s="55">
        <v>450</v>
      </c>
      <c r="H604" s="120">
        <v>1886</v>
      </c>
      <c r="I604" s="57">
        <v>125</v>
      </c>
      <c r="J604" s="120">
        <v>125</v>
      </c>
      <c r="K604" s="120">
        <v>3</v>
      </c>
      <c r="L604" s="120">
        <v>40</v>
      </c>
      <c r="M604" s="120">
        <v>15</v>
      </c>
      <c r="N604" s="120">
        <v>40</v>
      </c>
      <c r="O604" s="120">
        <v>2</v>
      </c>
      <c r="P604" s="120">
        <v>16.666999816894499</v>
      </c>
      <c r="Q604" s="120">
        <v>495</v>
      </c>
      <c r="R604" s="120">
        <v>388.70001220703102</v>
      </c>
      <c r="S604" s="148">
        <v>20.600000381469702</v>
      </c>
      <c r="T604" s="120">
        <v>57</v>
      </c>
      <c r="U604" s="120">
        <v>14</v>
      </c>
      <c r="V604" s="120">
        <v>-9999</v>
      </c>
      <c r="W604" s="120">
        <v>-9999</v>
      </c>
      <c r="X604" s="120">
        <v>-9999</v>
      </c>
      <c r="Y604" s="120">
        <v>-9999</v>
      </c>
      <c r="Z604" s="120">
        <v>-9999</v>
      </c>
      <c r="AA604" s="120">
        <v>68</v>
      </c>
      <c r="AB604" s="120">
        <v>14.5</v>
      </c>
      <c r="AC604" s="120">
        <v>603</v>
      </c>
      <c r="AD604" s="120">
        <v>1875</v>
      </c>
      <c r="AE604" s="120">
        <v>-9999</v>
      </c>
      <c r="AF604" s="120">
        <v>-9999</v>
      </c>
      <c r="AG604" s="120">
        <v>-9999</v>
      </c>
    </row>
    <row r="605" spans="1:33" x14ac:dyDescent="0.25">
      <c r="A605" s="120">
        <v>604</v>
      </c>
      <c r="B605" s="120" t="b">
        <v>0</v>
      </c>
      <c r="C605" s="120">
        <v>0</v>
      </c>
      <c r="D605" s="61">
        <v>1</v>
      </c>
      <c r="E605" s="120">
        <v>1</v>
      </c>
      <c r="F605" s="120" t="s">
        <v>184</v>
      </c>
      <c r="G605" s="55">
        <v>450</v>
      </c>
      <c r="H605" s="120">
        <v>1800</v>
      </c>
      <c r="I605" s="57">
        <v>125</v>
      </c>
      <c r="J605" s="120">
        <v>135</v>
      </c>
      <c r="K605" s="120">
        <v>4</v>
      </c>
      <c r="L605" s="120">
        <v>100</v>
      </c>
      <c r="M605" s="120">
        <v>15</v>
      </c>
      <c r="N605" s="120">
        <v>40</v>
      </c>
      <c r="O605" s="120">
        <v>2</v>
      </c>
      <c r="P605" s="120">
        <v>-9999</v>
      </c>
      <c r="Q605" s="120">
        <v>472.5</v>
      </c>
      <c r="R605" s="120">
        <v>371</v>
      </c>
      <c r="S605" s="148">
        <v>20.600000381469702</v>
      </c>
      <c r="T605" s="120">
        <v>-9999</v>
      </c>
      <c r="U605" s="120">
        <v>14</v>
      </c>
      <c r="V605" s="120">
        <v>-9999</v>
      </c>
      <c r="W605" s="120">
        <v>-9999</v>
      </c>
      <c r="X605" s="120">
        <v>-9999</v>
      </c>
      <c r="Y605" s="120">
        <v>-9999</v>
      </c>
      <c r="Z605" s="120">
        <v>-9999</v>
      </c>
      <c r="AA605" s="120">
        <v>68</v>
      </c>
      <c r="AB605" s="120">
        <v>14.5</v>
      </c>
      <c r="AC605" s="120">
        <v>604</v>
      </c>
      <c r="AD605" s="120">
        <v>1876</v>
      </c>
      <c r="AE605" s="120">
        <v>-9999</v>
      </c>
      <c r="AF605" s="120">
        <v>-9999</v>
      </c>
      <c r="AG605" s="120">
        <v>-9999</v>
      </c>
    </row>
    <row r="606" spans="1:33" x14ac:dyDescent="0.25">
      <c r="A606" s="120">
        <v>605</v>
      </c>
      <c r="B606" s="120" t="b">
        <v>0</v>
      </c>
      <c r="C606" s="120">
        <v>0</v>
      </c>
      <c r="D606" s="61">
        <v>1</v>
      </c>
      <c r="E606" s="120">
        <v>1</v>
      </c>
      <c r="F606" s="120" t="s">
        <v>184</v>
      </c>
      <c r="G606" s="55">
        <v>450</v>
      </c>
      <c r="H606" s="120">
        <v>1800</v>
      </c>
      <c r="I606" s="57">
        <v>125</v>
      </c>
      <c r="J606" s="120">
        <v>135</v>
      </c>
      <c r="K606" s="120">
        <v>11</v>
      </c>
      <c r="L606" s="120">
        <v>60</v>
      </c>
      <c r="M606" s="120">
        <v>15</v>
      </c>
      <c r="N606" s="120">
        <v>40</v>
      </c>
      <c r="O606" s="120">
        <v>2</v>
      </c>
      <c r="P606" s="120">
        <v>25</v>
      </c>
      <c r="Q606" s="120">
        <v>472.5</v>
      </c>
      <c r="R606" s="120">
        <v>371</v>
      </c>
      <c r="S606" s="148">
        <v>20.600000381469702</v>
      </c>
      <c r="T606" s="120">
        <v>70</v>
      </c>
      <c r="U606" s="120">
        <v>14</v>
      </c>
      <c r="V606" s="120">
        <v>-9999</v>
      </c>
      <c r="W606" s="120">
        <v>-9999</v>
      </c>
      <c r="X606" s="120">
        <v>-9999</v>
      </c>
      <c r="Y606" s="120">
        <v>-9999</v>
      </c>
      <c r="Z606" s="120">
        <v>-9999</v>
      </c>
      <c r="AA606" s="120">
        <v>68</v>
      </c>
      <c r="AB606" s="120">
        <v>14.5</v>
      </c>
      <c r="AC606" s="120">
        <v>605</v>
      </c>
      <c r="AD606" s="120">
        <v>1877</v>
      </c>
      <c r="AE606" s="120">
        <v>-9999</v>
      </c>
      <c r="AF606" s="120">
        <v>-9999</v>
      </c>
      <c r="AG606" s="120">
        <v>-9999</v>
      </c>
    </row>
    <row r="607" spans="1:33" x14ac:dyDescent="0.25">
      <c r="A607" s="120">
        <v>606</v>
      </c>
      <c r="B607" s="120" t="b">
        <v>0</v>
      </c>
      <c r="C607" s="120">
        <v>0</v>
      </c>
      <c r="D607" s="61">
        <v>1</v>
      </c>
      <c r="E607" s="120">
        <v>1</v>
      </c>
      <c r="F607" s="120" t="s">
        <v>184</v>
      </c>
      <c r="G607" s="55">
        <v>450</v>
      </c>
      <c r="H607" s="120">
        <v>1750</v>
      </c>
      <c r="I607" s="57">
        <v>140</v>
      </c>
      <c r="J607" s="120">
        <v>150</v>
      </c>
      <c r="K607" s="120">
        <v>1</v>
      </c>
      <c r="L607" s="120">
        <v>50</v>
      </c>
      <c r="M607" s="120">
        <v>15</v>
      </c>
      <c r="N607" s="120">
        <v>40</v>
      </c>
      <c r="O607" s="120">
        <v>2</v>
      </c>
      <c r="P607" s="120">
        <v>5</v>
      </c>
      <c r="Q607" s="120">
        <v>472.5</v>
      </c>
      <c r="R607" s="120">
        <v>371</v>
      </c>
      <c r="S607" s="148">
        <v>21.200000762939499</v>
      </c>
      <c r="T607" s="120">
        <v>65</v>
      </c>
      <c r="U607" s="120">
        <v>13</v>
      </c>
      <c r="V607" s="120">
        <v>-9999</v>
      </c>
      <c r="W607" s="120">
        <v>-9999</v>
      </c>
      <c r="X607" s="120">
        <v>-9999</v>
      </c>
      <c r="Y607" s="120">
        <v>-9999</v>
      </c>
      <c r="Z607" s="120">
        <v>-9999</v>
      </c>
      <c r="AA607" s="120">
        <v>68</v>
      </c>
      <c r="AB607" s="120">
        <v>14.5</v>
      </c>
      <c r="AC607" s="120">
        <v>606</v>
      </c>
      <c r="AD607" s="120">
        <v>1878</v>
      </c>
      <c r="AE607" s="120">
        <v>-9999</v>
      </c>
      <c r="AF607" s="120">
        <v>-9999</v>
      </c>
      <c r="AG607" s="120">
        <v>-9999</v>
      </c>
    </row>
    <row r="608" spans="1:33" x14ac:dyDescent="0.25">
      <c r="A608" s="120">
        <v>607</v>
      </c>
      <c r="B608" s="120" t="b">
        <v>0</v>
      </c>
      <c r="C608" s="120">
        <v>0</v>
      </c>
      <c r="D608" s="61">
        <v>1</v>
      </c>
      <c r="E608" s="120">
        <v>1</v>
      </c>
      <c r="F608" s="120" t="s">
        <v>184</v>
      </c>
      <c r="G608" s="55">
        <v>450</v>
      </c>
      <c r="H608" s="120">
        <v>1833</v>
      </c>
      <c r="I608" s="57">
        <v>140</v>
      </c>
      <c r="J608" s="120">
        <v>140</v>
      </c>
      <c r="K608" s="120">
        <v>2</v>
      </c>
      <c r="L608" s="120">
        <v>50</v>
      </c>
      <c r="M608" s="120">
        <v>15</v>
      </c>
      <c r="N608" s="120">
        <v>40</v>
      </c>
      <c r="O608" s="120">
        <v>2</v>
      </c>
      <c r="P608" s="120">
        <v>20</v>
      </c>
      <c r="Q608" s="120">
        <v>495</v>
      </c>
      <c r="R608" s="120">
        <v>388.70001220703102</v>
      </c>
      <c r="S608" s="148">
        <v>21.200000762939499</v>
      </c>
      <c r="T608" s="120">
        <v>65</v>
      </c>
      <c r="U608" s="120">
        <v>13</v>
      </c>
      <c r="V608" s="120">
        <v>-9999</v>
      </c>
      <c r="W608" s="120">
        <v>-9999</v>
      </c>
      <c r="X608" s="120">
        <v>-9999</v>
      </c>
      <c r="Y608" s="120">
        <v>-9999</v>
      </c>
      <c r="Z608" s="120">
        <v>-9999</v>
      </c>
      <c r="AA608" s="120">
        <v>68</v>
      </c>
      <c r="AB608" s="120">
        <v>14.5</v>
      </c>
      <c r="AC608" s="120">
        <v>607</v>
      </c>
      <c r="AD608" s="120">
        <v>1879</v>
      </c>
      <c r="AE608" s="120">
        <v>-9999</v>
      </c>
      <c r="AF608" s="120">
        <v>-9999</v>
      </c>
      <c r="AG608" s="120">
        <v>-9999</v>
      </c>
    </row>
    <row r="609" spans="1:33" x14ac:dyDescent="0.25">
      <c r="A609" s="120">
        <v>608</v>
      </c>
      <c r="B609" s="120" t="b">
        <v>0</v>
      </c>
      <c r="C609" s="120">
        <v>0</v>
      </c>
      <c r="D609" s="61">
        <v>1</v>
      </c>
      <c r="E609" s="120">
        <v>1</v>
      </c>
      <c r="F609" s="120" t="s">
        <v>184</v>
      </c>
      <c r="G609" s="55">
        <v>450</v>
      </c>
      <c r="H609" s="120">
        <v>1833</v>
      </c>
      <c r="I609" s="57">
        <v>140</v>
      </c>
      <c r="J609" s="120">
        <v>140</v>
      </c>
      <c r="K609" s="120">
        <v>3</v>
      </c>
      <c r="L609" s="120">
        <v>40</v>
      </c>
      <c r="M609" s="120">
        <v>15</v>
      </c>
      <c r="N609" s="120">
        <v>40</v>
      </c>
      <c r="O609" s="120">
        <v>2</v>
      </c>
      <c r="P609" s="120">
        <v>16.666999816894499</v>
      </c>
      <c r="Q609" s="120">
        <v>495</v>
      </c>
      <c r="R609" s="120">
        <v>388.70001220703102</v>
      </c>
      <c r="S609" s="148">
        <v>21.200000762939499</v>
      </c>
      <c r="T609" s="120">
        <v>57</v>
      </c>
      <c r="U609" s="120">
        <v>13</v>
      </c>
      <c r="V609" s="120">
        <v>-9999</v>
      </c>
      <c r="W609" s="120">
        <v>-9999</v>
      </c>
      <c r="X609" s="120">
        <v>-9999</v>
      </c>
      <c r="Y609" s="120">
        <v>-9999</v>
      </c>
      <c r="Z609" s="120">
        <v>-9999</v>
      </c>
      <c r="AA609" s="120">
        <v>68</v>
      </c>
      <c r="AB609" s="120">
        <v>14.5</v>
      </c>
      <c r="AC609" s="120">
        <v>608</v>
      </c>
      <c r="AD609" s="120">
        <v>1880</v>
      </c>
      <c r="AE609" s="120">
        <v>-9999</v>
      </c>
      <c r="AF609" s="120">
        <v>-9999</v>
      </c>
      <c r="AG609" s="120">
        <v>-9999</v>
      </c>
    </row>
    <row r="610" spans="1:33" x14ac:dyDescent="0.25">
      <c r="A610" s="120">
        <v>609</v>
      </c>
      <c r="B610" s="120" t="b">
        <v>0</v>
      </c>
      <c r="C610" s="120">
        <v>0</v>
      </c>
      <c r="D610" s="61">
        <v>1</v>
      </c>
      <c r="E610" s="120">
        <v>1</v>
      </c>
      <c r="F610" s="120" t="s">
        <v>184</v>
      </c>
      <c r="G610" s="55">
        <v>450</v>
      </c>
      <c r="H610" s="120">
        <v>1750</v>
      </c>
      <c r="I610" s="57">
        <v>140</v>
      </c>
      <c r="J610" s="120">
        <v>150</v>
      </c>
      <c r="K610" s="120">
        <v>4</v>
      </c>
      <c r="L610" s="120">
        <v>100</v>
      </c>
      <c r="M610" s="120">
        <v>15</v>
      </c>
      <c r="N610" s="120">
        <v>40</v>
      </c>
      <c r="O610" s="120">
        <v>2</v>
      </c>
      <c r="P610" s="120">
        <v>-9999</v>
      </c>
      <c r="Q610" s="120">
        <v>472.5</v>
      </c>
      <c r="R610" s="120">
        <v>371</v>
      </c>
      <c r="S610" s="148">
        <v>21.200000762939499</v>
      </c>
      <c r="T610" s="120">
        <v>-9999</v>
      </c>
      <c r="U610" s="120">
        <v>13</v>
      </c>
      <c r="V610" s="120">
        <v>-9999</v>
      </c>
      <c r="W610" s="120">
        <v>-9999</v>
      </c>
      <c r="X610" s="120">
        <v>-9999</v>
      </c>
      <c r="Y610" s="120">
        <v>-9999</v>
      </c>
      <c r="Z610" s="120">
        <v>-9999</v>
      </c>
      <c r="AA610" s="120">
        <v>68</v>
      </c>
      <c r="AB610" s="120">
        <v>14.5</v>
      </c>
      <c r="AC610" s="120">
        <v>609</v>
      </c>
      <c r="AD610" s="120">
        <v>1881</v>
      </c>
      <c r="AE610" s="120">
        <v>-9999</v>
      </c>
      <c r="AF610" s="120">
        <v>-9999</v>
      </c>
      <c r="AG610" s="120">
        <v>-9999</v>
      </c>
    </row>
    <row r="611" spans="1:33" x14ac:dyDescent="0.25">
      <c r="A611" s="120">
        <v>610</v>
      </c>
      <c r="B611" s="120" t="b">
        <v>0</v>
      </c>
      <c r="C611" s="120">
        <v>0</v>
      </c>
      <c r="D611" s="61">
        <v>1</v>
      </c>
      <c r="E611" s="120">
        <v>1</v>
      </c>
      <c r="F611" s="120" t="s">
        <v>184</v>
      </c>
      <c r="G611" s="55">
        <v>450</v>
      </c>
      <c r="H611" s="120">
        <v>1750</v>
      </c>
      <c r="I611" s="57">
        <v>140</v>
      </c>
      <c r="J611" s="120">
        <v>150</v>
      </c>
      <c r="K611" s="120">
        <v>11</v>
      </c>
      <c r="L611" s="120">
        <v>60</v>
      </c>
      <c r="M611" s="120">
        <v>15</v>
      </c>
      <c r="N611" s="120">
        <v>40</v>
      </c>
      <c r="O611" s="120">
        <v>2</v>
      </c>
      <c r="P611" s="120">
        <v>25</v>
      </c>
      <c r="Q611" s="120">
        <v>472.5</v>
      </c>
      <c r="R611" s="120">
        <v>371</v>
      </c>
      <c r="S611" s="148">
        <v>21.200000762939499</v>
      </c>
      <c r="T611" s="120">
        <v>70</v>
      </c>
      <c r="U611" s="120">
        <v>13</v>
      </c>
      <c r="V611" s="120">
        <v>-9999</v>
      </c>
      <c r="W611" s="120">
        <v>-9999</v>
      </c>
      <c r="X611" s="120">
        <v>-9999</v>
      </c>
      <c r="Y611" s="120">
        <v>-9999</v>
      </c>
      <c r="Z611" s="120">
        <v>-9999</v>
      </c>
      <c r="AA611" s="120">
        <v>68</v>
      </c>
      <c r="AB611" s="120">
        <v>14.5</v>
      </c>
      <c r="AC611" s="120">
        <v>610</v>
      </c>
      <c r="AD611" s="120">
        <v>1882</v>
      </c>
      <c r="AE611" s="120">
        <v>-9999</v>
      </c>
      <c r="AF611" s="120">
        <v>-9999</v>
      </c>
      <c r="AG611" s="120">
        <v>-9999</v>
      </c>
    </row>
    <row r="612" spans="1:33" x14ac:dyDescent="0.25">
      <c r="A612" s="120">
        <v>611</v>
      </c>
      <c r="B612" s="120" t="b">
        <v>0</v>
      </c>
      <c r="C612" s="120">
        <v>0</v>
      </c>
      <c r="D612" s="61">
        <v>1</v>
      </c>
      <c r="E612" s="120">
        <v>1</v>
      </c>
      <c r="F612" s="120" t="s">
        <v>185</v>
      </c>
      <c r="G612" s="55">
        <v>500</v>
      </c>
      <c r="H612" s="120">
        <v>2463</v>
      </c>
      <c r="I612" s="57">
        <v>100</v>
      </c>
      <c r="J612" s="120">
        <v>110</v>
      </c>
      <c r="K612" s="120">
        <v>1</v>
      </c>
      <c r="L612" s="120">
        <v>50</v>
      </c>
      <c r="M612" s="120">
        <v>15</v>
      </c>
      <c r="N612" s="120">
        <v>40</v>
      </c>
      <c r="O612" s="120">
        <v>2</v>
      </c>
      <c r="P612" s="120">
        <v>5</v>
      </c>
      <c r="Q612" s="120">
        <v>525</v>
      </c>
      <c r="R612" s="120">
        <v>414.39999389648398</v>
      </c>
      <c r="S612" s="148">
        <v>16.799999237060501</v>
      </c>
      <c r="T612" s="120">
        <v>65</v>
      </c>
      <c r="U612" s="120">
        <v>17</v>
      </c>
      <c r="V612" s="120">
        <v>-9999</v>
      </c>
      <c r="W612" s="120">
        <v>-9999</v>
      </c>
      <c r="X612" s="120">
        <v>-9999</v>
      </c>
      <c r="Y612" s="120">
        <v>-9999</v>
      </c>
      <c r="Z612" s="120">
        <v>-9999</v>
      </c>
      <c r="AA612" s="120">
        <v>68</v>
      </c>
      <c r="AB612" s="120">
        <v>14.5</v>
      </c>
      <c r="AC612" s="120">
        <v>611</v>
      </c>
      <c r="AD612" s="120">
        <v>1883</v>
      </c>
      <c r="AE612" s="120">
        <v>-9999</v>
      </c>
      <c r="AF612" s="120">
        <v>-9999</v>
      </c>
      <c r="AG612" s="120">
        <v>-9999</v>
      </c>
    </row>
    <row r="613" spans="1:33" x14ac:dyDescent="0.25">
      <c r="A613" s="120">
        <v>612</v>
      </c>
      <c r="B613" s="120" t="b">
        <v>0</v>
      </c>
      <c r="C613" s="120">
        <v>0</v>
      </c>
      <c r="D613" s="61">
        <v>1</v>
      </c>
      <c r="E613" s="120">
        <v>1</v>
      </c>
      <c r="F613" s="120" t="s">
        <v>185</v>
      </c>
      <c r="G613" s="55">
        <v>500</v>
      </c>
      <c r="H613" s="120">
        <v>2580</v>
      </c>
      <c r="I613" s="57">
        <v>100</v>
      </c>
      <c r="J613" s="120">
        <v>100</v>
      </c>
      <c r="K613" s="120">
        <v>2</v>
      </c>
      <c r="L613" s="120">
        <v>50</v>
      </c>
      <c r="M613" s="120">
        <v>15</v>
      </c>
      <c r="N613" s="120">
        <v>40</v>
      </c>
      <c r="O613" s="120">
        <v>2</v>
      </c>
      <c r="P613" s="120">
        <v>20</v>
      </c>
      <c r="Q613" s="120">
        <v>550</v>
      </c>
      <c r="R613" s="120">
        <v>434.20001220703102</v>
      </c>
      <c r="S613" s="148">
        <v>16.799999237060501</v>
      </c>
      <c r="T613" s="120">
        <v>65</v>
      </c>
      <c r="U613" s="120">
        <v>17</v>
      </c>
      <c r="V613" s="120">
        <v>-9999</v>
      </c>
      <c r="W613" s="120">
        <v>-9999</v>
      </c>
      <c r="X613" s="120">
        <v>-9999</v>
      </c>
      <c r="Y613" s="120">
        <v>-9999</v>
      </c>
      <c r="Z613" s="120">
        <v>-9999</v>
      </c>
      <c r="AA613" s="120">
        <v>68</v>
      </c>
      <c r="AB613" s="120">
        <v>14.5</v>
      </c>
      <c r="AC613" s="120">
        <v>612</v>
      </c>
      <c r="AD613" s="120">
        <v>1884</v>
      </c>
      <c r="AE613" s="120">
        <v>-9999</v>
      </c>
      <c r="AF613" s="120">
        <v>-9999</v>
      </c>
      <c r="AG613" s="120">
        <v>-9999</v>
      </c>
    </row>
    <row r="614" spans="1:33" x14ac:dyDescent="0.25">
      <c r="A614" s="120">
        <v>613</v>
      </c>
      <c r="B614" s="120" t="b">
        <v>0</v>
      </c>
      <c r="C614" s="120">
        <v>0</v>
      </c>
      <c r="D614" s="61">
        <v>1</v>
      </c>
      <c r="E614" s="120">
        <v>1</v>
      </c>
      <c r="F614" s="120" t="s">
        <v>185</v>
      </c>
      <c r="G614" s="55">
        <v>500</v>
      </c>
      <c r="H614" s="120">
        <v>2580</v>
      </c>
      <c r="I614" s="57">
        <v>100</v>
      </c>
      <c r="J614" s="120">
        <v>100</v>
      </c>
      <c r="K614" s="120">
        <v>3</v>
      </c>
      <c r="L614" s="120">
        <v>40</v>
      </c>
      <c r="M614" s="120">
        <v>15</v>
      </c>
      <c r="N614" s="120">
        <v>40</v>
      </c>
      <c r="O614" s="120">
        <v>2</v>
      </c>
      <c r="P614" s="120">
        <v>16.666999816894499</v>
      </c>
      <c r="Q614" s="120">
        <v>550</v>
      </c>
      <c r="R614" s="120">
        <v>434.20001220703102</v>
      </c>
      <c r="S614" s="148">
        <v>16.799999237060501</v>
      </c>
      <c r="T614" s="120">
        <v>57</v>
      </c>
      <c r="U614" s="120">
        <v>17</v>
      </c>
      <c r="V614" s="120">
        <v>-9999</v>
      </c>
      <c r="W614" s="120">
        <v>-9999</v>
      </c>
      <c r="X614" s="120">
        <v>-9999</v>
      </c>
      <c r="Y614" s="120">
        <v>-9999</v>
      </c>
      <c r="Z614" s="120">
        <v>-9999</v>
      </c>
      <c r="AA614" s="120">
        <v>68</v>
      </c>
      <c r="AB614" s="120">
        <v>14.5</v>
      </c>
      <c r="AC614" s="120">
        <v>613</v>
      </c>
      <c r="AD614" s="120">
        <v>1885</v>
      </c>
      <c r="AE614" s="120">
        <v>-9999</v>
      </c>
      <c r="AF614" s="120">
        <v>-9999</v>
      </c>
      <c r="AG614" s="120">
        <v>-9999</v>
      </c>
    </row>
    <row r="615" spans="1:33" x14ac:dyDescent="0.25">
      <c r="A615" s="120">
        <v>614</v>
      </c>
      <c r="B615" s="120" t="b">
        <v>0</v>
      </c>
      <c r="C615" s="120">
        <v>0</v>
      </c>
      <c r="D615" s="61">
        <v>1</v>
      </c>
      <c r="E615" s="120">
        <v>1</v>
      </c>
      <c r="F615" s="120" t="s">
        <v>185</v>
      </c>
      <c r="G615" s="55">
        <v>500</v>
      </c>
      <c r="H615" s="120">
        <v>2463</v>
      </c>
      <c r="I615" s="57">
        <v>100</v>
      </c>
      <c r="J615" s="120">
        <v>110</v>
      </c>
      <c r="K615" s="120">
        <v>4</v>
      </c>
      <c r="L615" s="120">
        <v>100</v>
      </c>
      <c r="M615" s="120">
        <v>15</v>
      </c>
      <c r="N615" s="120">
        <v>40</v>
      </c>
      <c r="O615" s="120">
        <v>2</v>
      </c>
      <c r="P615" s="120">
        <v>-9999</v>
      </c>
      <c r="Q615" s="120">
        <v>525</v>
      </c>
      <c r="R615" s="120">
        <v>414.39999389648398</v>
      </c>
      <c r="S615" s="148">
        <v>16.799999237060501</v>
      </c>
      <c r="T615" s="120">
        <v>-9999</v>
      </c>
      <c r="U615" s="120">
        <v>17</v>
      </c>
      <c r="V615" s="120">
        <v>-9999</v>
      </c>
      <c r="W615" s="120">
        <v>-9999</v>
      </c>
      <c r="X615" s="120">
        <v>-9999</v>
      </c>
      <c r="Y615" s="120">
        <v>-9999</v>
      </c>
      <c r="Z615" s="120">
        <v>-9999</v>
      </c>
      <c r="AA615" s="120">
        <v>68</v>
      </c>
      <c r="AB615" s="120">
        <v>14.5</v>
      </c>
      <c r="AC615" s="120">
        <v>614</v>
      </c>
      <c r="AD615" s="120">
        <v>1886</v>
      </c>
      <c r="AE615" s="120">
        <v>-9999</v>
      </c>
      <c r="AF615" s="120">
        <v>-9999</v>
      </c>
      <c r="AG615" s="120">
        <v>-9999</v>
      </c>
    </row>
    <row r="616" spans="1:33" x14ac:dyDescent="0.25">
      <c r="A616" s="120">
        <v>615</v>
      </c>
      <c r="B616" s="120" t="b">
        <v>0</v>
      </c>
      <c r="C616" s="120">
        <v>0</v>
      </c>
      <c r="D616" s="61">
        <v>1</v>
      </c>
      <c r="E616" s="120">
        <v>1</v>
      </c>
      <c r="F616" s="120" t="s">
        <v>185</v>
      </c>
      <c r="G616" s="55">
        <v>500</v>
      </c>
      <c r="H616" s="120">
        <v>2463</v>
      </c>
      <c r="I616" s="57">
        <v>100</v>
      </c>
      <c r="J616" s="120">
        <v>110</v>
      </c>
      <c r="K616" s="120">
        <v>11</v>
      </c>
      <c r="L616" s="120">
        <v>60</v>
      </c>
      <c r="M616" s="120">
        <v>15</v>
      </c>
      <c r="N616" s="120">
        <v>40</v>
      </c>
      <c r="O616" s="120">
        <v>2</v>
      </c>
      <c r="P616" s="120">
        <v>25</v>
      </c>
      <c r="Q616" s="120">
        <v>525</v>
      </c>
      <c r="R616" s="120">
        <v>414.39999389648398</v>
      </c>
      <c r="S616" s="148">
        <v>16.799999237060501</v>
      </c>
      <c r="T616" s="120">
        <v>70</v>
      </c>
      <c r="U616" s="120">
        <v>17</v>
      </c>
      <c r="V616" s="120">
        <v>-9999</v>
      </c>
      <c r="W616" s="120">
        <v>-9999</v>
      </c>
      <c r="X616" s="120">
        <v>-9999</v>
      </c>
      <c r="Y616" s="120">
        <v>-9999</v>
      </c>
      <c r="Z616" s="120">
        <v>-9999</v>
      </c>
      <c r="AA616" s="120">
        <v>68</v>
      </c>
      <c r="AB616" s="120">
        <v>14.5</v>
      </c>
      <c r="AC616" s="120">
        <v>615</v>
      </c>
      <c r="AD616" s="120">
        <v>1887</v>
      </c>
      <c r="AE616" s="120">
        <v>-9999</v>
      </c>
      <c r="AF616" s="120">
        <v>-9999</v>
      </c>
      <c r="AG616" s="120">
        <v>-9999</v>
      </c>
    </row>
    <row r="617" spans="1:33" x14ac:dyDescent="0.25">
      <c r="A617" s="120">
        <v>616</v>
      </c>
      <c r="B617" s="120" t="b">
        <v>0</v>
      </c>
      <c r="C617" s="120">
        <v>0</v>
      </c>
      <c r="D617" s="61">
        <v>1</v>
      </c>
      <c r="E617" s="120">
        <v>1</v>
      </c>
      <c r="F617" s="120" t="s">
        <v>185</v>
      </c>
      <c r="G617" s="55">
        <v>500</v>
      </c>
      <c r="H617" s="120">
        <v>2100</v>
      </c>
      <c r="I617" s="57">
        <v>125</v>
      </c>
      <c r="J617" s="120">
        <v>135</v>
      </c>
      <c r="K617" s="120">
        <v>1</v>
      </c>
      <c r="L617" s="120">
        <v>50</v>
      </c>
      <c r="M617" s="120">
        <v>15</v>
      </c>
      <c r="N617" s="120">
        <v>40</v>
      </c>
      <c r="O617" s="120">
        <v>2</v>
      </c>
      <c r="P617" s="120">
        <v>5</v>
      </c>
      <c r="Q617" s="120">
        <v>525</v>
      </c>
      <c r="R617" s="120">
        <v>414.39999389648398</v>
      </c>
      <c r="S617" s="148">
        <v>19.700000762939499</v>
      </c>
      <c r="T617" s="120">
        <v>65</v>
      </c>
      <c r="U617" s="120">
        <v>14</v>
      </c>
      <c r="V617" s="120">
        <v>-9999</v>
      </c>
      <c r="W617" s="120">
        <v>-9999</v>
      </c>
      <c r="X617" s="120">
        <v>-9999</v>
      </c>
      <c r="Y617" s="120">
        <v>-9999</v>
      </c>
      <c r="Z617" s="120">
        <v>-9999</v>
      </c>
      <c r="AA617" s="120">
        <v>68</v>
      </c>
      <c r="AB617" s="120">
        <v>14.5</v>
      </c>
      <c r="AC617" s="120">
        <v>616</v>
      </c>
      <c r="AD617" s="120">
        <v>1888</v>
      </c>
      <c r="AE617" s="120">
        <v>-9999</v>
      </c>
      <c r="AF617" s="120">
        <v>-9999</v>
      </c>
      <c r="AG617" s="120">
        <v>-9999</v>
      </c>
    </row>
    <row r="618" spans="1:33" x14ac:dyDescent="0.25">
      <c r="A618" s="120">
        <v>617</v>
      </c>
      <c r="B618" s="120" t="b">
        <v>0</v>
      </c>
      <c r="C618" s="120">
        <v>0</v>
      </c>
      <c r="D618" s="61">
        <v>1</v>
      </c>
      <c r="E618" s="120">
        <v>1</v>
      </c>
      <c r="F618" s="120" t="s">
        <v>185</v>
      </c>
      <c r="G618" s="55">
        <v>500</v>
      </c>
      <c r="H618" s="120">
        <v>2200</v>
      </c>
      <c r="I618" s="57">
        <v>125</v>
      </c>
      <c r="J618" s="120">
        <v>125</v>
      </c>
      <c r="K618" s="120">
        <v>2</v>
      </c>
      <c r="L618" s="120">
        <v>50</v>
      </c>
      <c r="M618" s="120">
        <v>15</v>
      </c>
      <c r="N618" s="120">
        <v>40</v>
      </c>
      <c r="O618" s="120">
        <v>2</v>
      </c>
      <c r="P618" s="120">
        <v>20</v>
      </c>
      <c r="Q618" s="120">
        <v>550</v>
      </c>
      <c r="R618" s="120">
        <v>434.20001220703102</v>
      </c>
      <c r="S618" s="148">
        <v>19.700000762939499</v>
      </c>
      <c r="T618" s="120">
        <v>65</v>
      </c>
      <c r="U618" s="120">
        <v>14</v>
      </c>
      <c r="V618" s="120">
        <v>-9999</v>
      </c>
      <c r="W618" s="120">
        <v>-9999</v>
      </c>
      <c r="X618" s="120">
        <v>-9999</v>
      </c>
      <c r="Y618" s="120">
        <v>-9999</v>
      </c>
      <c r="Z618" s="120">
        <v>-9999</v>
      </c>
      <c r="AA618" s="120">
        <v>68</v>
      </c>
      <c r="AB618" s="120">
        <v>14.5</v>
      </c>
      <c r="AC618" s="120">
        <v>617</v>
      </c>
      <c r="AD618" s="120">
        <v>1889</v>
      </c>
      <c r="AE618" s="120">
        <v>-9999</v>
      </c>
      <c r="AF618" s="120">
        <v>-9999</v>
      </c>
      <c r="AG618" s="120">
        <v>-9999</v>
      </c>
    </row>
    <row r="619" spans="1:33" x14ac:dyDescent="0.25">
      <c r="A619" s="120">
        <v>618</v>
      </c>
      <c r="B619" s="120" t="b">
        <v>0</v>
      </c>
      <c r="C619" s="120">
        <v>0</v>
      </c>
      <c r="D619" s="61">
        <v>1</v>
      </c>
      <c r="E619" s="120">
        <v>1</v>
      </c>
      <c r="F619" s="120" t="s">
        <v>185</v>
      </c>
      <c r="G619" s="55">
        <v>500</v>
      </c>
      <c r="H619" s="120">
        <v>2200</v>
      </c>
      <c r="I619" s="57">
        <v>125</v>
      </c>
      <c r="J619" s="120">
        <v>125</v>
      </c>
      <c r="K619" s="120">
        <v>3</v>
      </c>
      <c r="L619" s="120">
        <v>40</v>
      </c>
      <c r="M619" s="120">
        <v>15</v>
      </c>
      <c r="N619" s="120">
        <v>40</v>
      </c>
      <c r="O619" s="120">
        <v>2</v>
      </c>
      <c r="P619" s="120">
        <v>16.666999816894499</v>
      </c>
      <c r="Q619" s="120">
        <v>550</v>
      </c>
      <c r="R619" s="120">
        <v>434.20001220703102</v>
      </c>
      <c r="S619" s="148">
        <v>19.700000762939499</v>
      </c>
      <c r="T619" s="120">
        <v>57</v>
      </c>
      <c r="U619" s="120">
        <v>14</v>
      </c>
      <c r="V619" s="120">
        <v>-9999</v>
      </c>
      <c r="W619" s="120">
        <v>-9999</v>
      </c>
      <c r="X619" s="120">
        <v>-9999</v>
      </c>
      <c r="Y619" s="120">
        <v>-9999</v>
      </c>
      <c r="Z619" s="120">
        <v>-9999</v>
      </c>
      <c r="AA619" s="120">
        <v>68</v>
      </c>
      <c r="AB619" s="120">
        <v>14.5</v>
      </c>
      <c r="AC619" s="120">
        <v>618</v>
      </c>
      <c r="AD619" s="120">
        <v>1890</v>
      </c>
      <c r="AE619" s="120">
        <v>-9999</v>
      </c>
      <c r="AF619" s="120">
        <v>-9999</v>
      </c>
      <c r="AG619" s="120">
        <v>-9999</v>
      </c>
    </row>
    <row r="620" spans="1:33" x14ac:dyDescent="0.25">
      <c r="A620" s="120">
        <v>619</v>
      </c>
      <c r="B620" s="120" t="b">
        <v>0</v>
      </c>
      <c r="C620" s="120">
        <v>0</v>
      </c>
      <c r="D620" s="61">
        <v>1</v>
      </c>
      <c r="E620" s="120">
        <v>1</v>
      </c>
      <c r="F620" s="120" t="s">
        <v>185</v>
      </c>
      <c r="G620" s="55">
        <v>500</v>
      </c>
      <c r="H620" s="120">
        <v>2100</v>
      </c>
      <c r="I620" s="57">
        <v>125</v>
      </c>
      <c r="J620" s="120">
        <v>135</v>
      </c>
      <c r="K620" s="120">
        <v>4</v>
      </c>
      <c r="L620" s="120">
        <v>100</v>
      </c>
      <c r="M620" s="120">
        <v>15</v>
      </c>
      <c r="N620" s="120">
        <v>40</v>
      </c>
      <c r="O620" s="120">
        <v>2</v>
      </c>
      <c r="P620" s="120">
        <v>-9999</v>
      </c>
      <c r="Q620" s="120">
        <v>525</v>
      </c>
      <c r="R620" s="120">
        <v>414.39999389648398</v>
      </c>
      <c r="S620" s="148">
        <v>19.700000762939499</v>
      </c>
      <c r="T620" s="120">
        <v>-9999</v>
      </c>
      <c r="U620" s="120">
        <v>14</v>
      </c>
      <c r="V620" s="120">
        <v>-9999</v>
      </c>
      <c r="W620" s="120">
        <v>-9999</v>
      </c>
      <c r="X620" s="120">
        <v>-9999</v>
      </c>
      <c r="Y620" s="120">
        <v>-9999</v>
      </c>
      <c r="Z620" s="120">
        <v>-9999</v>
      </c>
      <c r="AA620" s="120">
        <v>68</v>
      </c>
      <c r="AB620" s="120">
        <v>14.5</v>
      </c>
      <c r="AC620" s="120">
        <v>619</v>
      </c>
      <c r="AD620" s="120">
        <v>1891</v>
      </c>
      <c r="AE620" s="120">
        <v>-9999</v>
      </c>
      <c r="AF620" s="120">
        <v>-9999</v>
      </c>
      <c r="AG620" s="120">
        <v>-9999</v>
      </c>
    </row>
    <row r="621" spans="1:33" x14ac:dyDescent="0.25">
      <c r="A621" s="120">
        <v>620</v>
      </c>
      <c r="B621" s="120" t="b">
        <v>0</v>
      </c>
      <c r="C621" s="120">
        <v>0</v>
      </c>
      <c r="D621" s="61">
        <v>1</v>
      </c>
      <c r="E621" s="120">
        <v>1</v>
      </c>
      <c r="F621" s="120" t="s">
        <v>185</v>
      </c>
      <c r="G621" s="55">
        <v>500</v>
      </c>
      <c r="H621" s="120">
        <v>2100</v>
      </c>
      <c r="I621" s="57">
        <v>125</v>
      </c>
      <c r="J621" s="120">
        <v>135</v>
      </c>
      <c r="K621" s="120">
        <v>11</v>
      </c>
      <c r="L621" s="120">
        <v>60</v>
      </c>
      <c r="M621" s="120">
        <v>15</v>
      </c>
      <c r="N621" s="120">
        <v>40</v>
      </c>
      <c r="O621" s="120">
        <v>2</v>
      </c>
      <c r="P621" s="120">
        <v>25</v>
      </c>
      <c r="Q621" s="120">
        <v>525</v>
      </c>
      <c r="R621" s="120">
        <v>414.39999389648398</v>
      </c>
      <c r="S621" s="148">
        <v>19.700000762939499</v>
      </c>
      <c r="T621" s="120">
        <v>70</v>
      </c>
      <c r="U621" s="120">
        <v>14</v>
      </c>
      <c r="V621" s="120">
        <v>-9999</v>
      </c>
      <c r="W621" s="120">
        <v>-9999</v>
      </c>
      <c r="X621" s="120">
        <v>-9999</v>
      </c>
      <c r="Y621" s="120">
        <v>-9999</v>
      </c>
      <c r="Z621" s="120">
        <v>-9999</v>
      </c>
      <c r="AA621" s="120">
        <v>68</v>
      </c>
      <c r="AB621" s="120">
        <v>14.5</v>
      </c>
      <c r="AC621" s="120">
        <v>620</v>
      </c>
      <c r="AD621" s="120">
        <v>1892</v>
      </c>
      <c r="AE621" s="120">
        <v>-9999</v>
      </c>
      <c r="AF621" s="120">
        <v>-9999</v>
      </c>
      <c r="AG621" s="120">
        <v>-9999</v>
      </c>
    </row>
    <row r="622" spans="1:33" x14ac:dyDescent="0.25">
      <c r="A622" s="120">
        <v>621</v>
      </c>
      <c r="B622" s="120" t="b">
        <v>0</v>
      </c>
      <c r="C622" s="120">
        <v>0</v>
      </c>
      <c r="D622" s="61">
        <v>1</v>
      </c>
      <c r="E622" s="120">
        <v>1</v>
      </c>
      <c r="F622" s="120" t="s">
        <v>185</v>
      </c>
      <c r="G622" s="55">
        <v>500</v>
      </c>
      <c r="H622" s="120">
        <v>1747</v>
      </c>
      <c r="I622" s="57">
        <v>150</v>
      </c>
      <c r="J622" s="120">
        <v>160</v>
      </c>
      <c r="K622" s="120">
        <v>1</v>
      </c>
      <c r="L622" s="120">
        <v>50</v>
      </c>
      <c r="M622" s="120">
        <v>15</v>
      </c>
      <c r="N622" s="120">
        <v>40</v>
      </c>
      <c r="O622" s="120">
        <v>2</v>
      </c>
      <c r="P622" s="120">
        <v>5</v>
      </c>
      <c r="Q622" s="120">
        <v>525</v>
      </c>
      <c r="R622" s="120">
        <v>414.39999389648398</v>
      </c>
      <c r="S622" s="148">
        <v>23.700000762939499</v>
      </c>
      <c r="T622" s="120">
        <v>65</v>
      </c>
      <c r="U622" s="120">
        <v>13</v>
      </c>
      <c r="V622" s="120">
        <v>-9999</v>
      </c>
      <c r="W622" s="120">
        <v>-9999</v>
      </c>
      <c r="X622" s="120">
        <v>-9999</v>
      </c>
      <c r="Y622" s="120">
        <v>-9999</v>
      </c>
      <c r="Z622" s="120">
        <v>-9999</v>
      </c>
      <c r="AA622" s="120">
        <v>68</v>
      </c>
      <c r="AB622" s="120">
        <v>14.5</v>
      </c>
      <c r="AC622" s="120">
        <v>621</v>
      </c>
      <c r="AD622" s="120">
        <v>1893</v>
      </c>
      <c r="AE622" s="120">
        <v>-9999</v>
      </c>
      <c r="AF622" s="120">
        <v>-9999</v>
      </c>
      <c r="AG622" s="120">
        <v>-9999</v>
      </c>
    </row>
    <row r="623" spans="1:33" x14ac:dyDescent="0.25">
      <c r="A623" s="120">
        <v>622</v>
      </c>
      <c r="B623" s="120" t="b">
        <v>0</v>
      </c>
      <c r="C623" s="120">
        <v>0</v>
      </c>
      <c r="D623" s="61">
        <v>1</v>
      </c>
      <c r="E623" s="120">
        <v>1</v>
      </c>
      <c r="F623" s="120" t="s">
        <v>185</v>
      </c>
      <c r="G623" s="55">
        <v>500</v>
      </c>
      <c r="H623" s="120">
        <v>1830</v>
      </c>
      <c r="I623" s="57">
        <v>150</v>
      </c>
      <c r="J623" s="120">
        <v>150</v>
      </c>
      <c r="K623" s="120">
        <v>2</v>
      </c>
      <c r="L623" s="120">
        <v>50</v>
      </c>
      <c r="M623" s="120">
        <v>15</v>
      </c>
      <c r="N623" s="120">
        <v>40</v>
      </c>
      <c r="O623" s="120">
        <v>2</v>
      </c>
      <c r="P623" s="120">
        <v>20</v>
      </c>
      <c r="Q623" s="120">
        <v>550</v>
      </c>
      <c r="R623" s="120">
        <v>434.20001220703102</v>
      </c>
      <c r="S623" s="148">
        <v>23.700000762939499</v>
      </c>
      <c r="T623" s="120">
        <v>65</v>
      </c>
      <c r="U623" s="120">
        <v>13</v>
      </c>
      <c r="V623" s="120">
        <v>-9999</v>
      </c>
      <c r="W623" s="120">
        <v>-9999</v>
      </c>
      <c r="X623" s="120">
        <v>-9999</v>
      </c>
      <c r="Y623" s="120">
        <v>-9999</v>
      </c>
      <c r="Z623" s="120">
        <v>-9999</v>
      </c>
      <c r="AA623" s="120">
        <v>68</v>
      </c>
      <c r="AB623" s="120">
        <v>14.5</v>
      </c>
      <c r="AC623" s="120">
        <v>622</v>
      </c>
      <c r="AD623" s="120">
        <v>1894</v>
      </c>
      <c r="AE623" s="120">
        <v>-9999</v>
      </c>
      <c r="AF623" s="120">
        <v>-9999</v>
      </c>
      <c r="AG623" s="120">
        <v>-9999</v>
      </c>
    </row>
    <row r="624" spans="1:33" x14ac:dyDescent="0.25">
      <c r="A624" s="120">
        <v>623</v>
      </c>
      <c r="B624" s="120" t="b">
        <v>0</v>
      </c>
      <c r="C624" s="120">
        <v>0</v>
      </c>
      <c r="D624" s="61">
        <v>1</v>
      </c>
      <c r="E624" s="120">
        <v>1</v>
      </c>
      <c r="F624" s="120" t="s">
        <v>185</v>
      </c>
      <c r="G624" s="55">
        <v>500</v>
      </c>
      <c r="H624" s="120">
        <v>1830</v>
      </c>
      <c r="I624" s="57">
        <v>150</v>
      </c>
      <c r="J624" s="120">
        <v>150</v>
      </c>
      <c r="K624" s="120">
        <v>3</v>
      </c>
      <c r="L624" s="120">
        <v>40</v>
      </c>
      <c r="M624" s="120">
        <v>15</v>
      </c>
      <c r="N624" s="120">
        <v>40</v>
      </c>
      <c r="O624" s="120">
        <v>2</v>
      </c>
      <c r="P624" s="120">
        <v>16.666999816894499</v>
      </c>
      <c r="Q624" s="120">
        <v>550</v>
      </c>
      <c r="R624" s="120">
        <v>434.20001220703102</v>
      </c>
      <c r="S624" s="148">
        <v>23.700000762939499</v>
      </c>
      <c r="T624" s="120">
        <v>57</v>
      </c>
      <c r="U624" s="120">
        <v>13</v>
      </c>
      <c r="V624" s="120">
        <v>-9999</v>
      </c>
      <c r="W624" s="120">
        <v>-9999</v>
      </c>
      <c r="X624" s="120">
        <v>-9999</v>
      </c>
      <c r="Y624" s="120">
        <v>-9999</v>
      </c>
      <c r="Z624" s="120">
        <v>-9999</v>
      </c>
      <c r="AA624" s="120">
        <v>68</v>
      </c>
      <c r="AB624" s="120">
        <v>14.5</v>
      </c>
      <c r="AC624" s="120">
        <v>623</v>
      </c>
      <c r="AD624" s="120">
        <v>1895</v>
      </c>
      <c r="AE624" s="120">
        <v>-9999</v>
      </c>
      <c r="AF624" s="120">
        <v>-9999</v>
      </c>
      <c r="AG624" s="120">
        <v>-9999</v>
      </c>
    </row>
    <row r="625" spans="1:33" x14ac:dyDescent="0.25">
      <c r="A625" s="120">
        <v>624</v>
      </c>
      <c r="B625" s="120" t="b">
        <v>0</v>
      </c>
      <c r="C625" s="120">
        <v>0</v>
      </c>
      <c r="D625" s="61">
        <v>1</v>
      </c>
      <c r="E625" s="120">
        <v>1</v>
      </c>
      <c r="F625" s="120" t="s">
        <v>185</v>
      </c>
      <c r="G625" s="55">
        <v>500</v>
      </c>
      <c r="H625" s="120">
        <v>1747</v>
      </c>
      <c r="I625" s="57">
        <v>150</v>
      </c>
      <c r="J625" s="120">
        <v>160</v>
      </c>
      <c r="K625" s="120">
        <v>4</v>
      </c>
      <c r="L625" s="120">
        <v>100</v>
      </c>
      <c r="M625" s="120">
        <v>15</v>
      </c>
      <c r="N625" s="120">
        <v>40</v>
      </c>
      <c r="O625" s="120">
        <v>2</v>
      </c>
      <c r="P625" s="120">
        <v>-9999</v>
      </c>
      <c r="Q625" s="120">
        <v>525</v>
      </c>
      <c r="R625" s="120">
        <v>414.39999389648398</v>
      </c>
      <c r="S625" s="148">
        <v>23.700000762939499</v>
      </c>
      <c r="T625" s="120">
        <v>-9999</v>
      </c>
      <c r="U625" s="120">
        <v>13</v>
      </c>
      <c r="V625" s="120">
        <v>-9999</v>
      </c>
      <c r="W625" s="120">
        <v>-9999</v>
      </c>
      <c r="X625" s="120">
        <v>-9999</v>
      </c>
      <c r="Y625" s="120">
        <v>-9999</v>
      </c>
      <c r="Z625" s="120">
        <v>-9999</v>
      </c>
      <c r="AA625" s="120">
        <v>68</v>
      </c>
      <c r="AB625" s="120">
        <v>14.5</v>
      </c>
      <c r="AC625" s="120">
        <v>624</v>
      </c>
      <c r="AD625" s="120">
        <v>1896</v>
      </c>
      <c r="AE625" s="120">
        <v>-9999</v>
      </c>
      <c r="AF625" s="120">
        <v>-9999</v>
      </c>
      <c r="AG625" s="120">
        <v>-9999</v>
      </c>
    </row>
    <row r="626" spans="1:33" x14ac:dyDescent="0.25">
      <c r="A626" s="120">
        <v>625</v>
      </c>
      <c r="B626" s="120" t="b">
        <v>0</v>
      </c>
      <c r="C626" s="120">
        <v>0</v>
      </c>
      <c r="D626" s="61">
        <v>1</v>
      </c>
      <c r="E626" s="120">
        <v>1</v>
      </c>
      <c r="F626" s="120" t="s">
        <v>185</v>
      </c>
      <c r="G626" s="55">
        <v>500</v>
      </c>
      <c r="H626" s="120">
        <v>1747</v>
      </c>
      <c r="I626" s="57">
        <v>150</v>
      </c>
      <c r="J626" s="120">
        <v>160</v>
      </c>
      <c r="K626" s="120">
        <v>11</v>
      </c>
      <c r="L626" s="120">
        <v>60</v>
      </c>
      <c r="M626" s="120">
        <v>15</v>
      </c>
      <c r="N626" s="120">
        <v>40</v>
      </c>
      <c r="O626" s="120">
        <v>2</v>
      </c>
      <c r="P626" s="120">
        <v>25</v>
      </c>
      <c r="Q626" s="120">
        <v>525</v>
      </c>
      <c r="R626" s="120">
        <v>414.39999389648398</v>
      </c>
      <c r="S626" s="148">
        <v>23.700000762939499</v>
      </c>
      <c r="T626" s="120">
        <v>70</v>
      </c>
      <c r="U626" s="120">
        <v>13</v>
      </c>
      <c r="V626" s="120">
        <v>-9999</v>
      </c>
      <c r="W626" s="120">
        <v>-9999</v>
      </c>
      <c r="X626" s="120">
        <v>-9999</v>
      </c>
      <c r="Y626" s="120">
        <v>-9999</v>
      </c>
      <c r="Z626" s="120">
        <v>-9999</v>
      </c>
      <c r="AA626" s="120">
        <v>68</v>
      </c>
      <c r="AB626" s="120">
        <v>14.5</v>
      </c>
      <c r="AC626" s="120">
        <v>625</v>
      </c>
      <c r="AD626" s="120">
        <v>1897</v>
      </c>
      <c r="AE626" s="120">
        <v>-9999</v>
      </c>
      <c r="AF626" s="120">
        <v>-9999</v>
      </c>
      <c r="AG626" s="120">
        <v>-9999</v>
      </c>
    </row>
    <row r="627" spans="1:33" x14ac:dyDescent="0.25">
      <c r="A627" s="120">
        <v>626</v>
      </c>
      <c r="B627" s="120" t="b">
        <v>0</v>
      </c>
      <c r="C627" s="120">
        <v>0</v>
      </c>
      <c r="D627" s="61">
        <v>2</v>
      </c>
      <c r="E627" s="120">
        <v>1</v>
      </c>
      <c r="F627" s="120" t="s">
        <v>176</v>
      </c>
      <c r="G627" s="55">
        <v>100</v>
      </c>
      <c r="H627" s="120">
        <v>535</v>
      </c>
      <c r="I627" s="57">
        <v>100</v>
      </c>
      <c r="J627" s="120">
        <v>110</v>
      </c>
      <c r="K627" s="120">
        <v>1</v>
      </c>
      <c r="L627" s="120">
        <v>50</v>
      </c>
      <c r="M627" s="120">
        <v>15</v>
      </c>
      <c r="N627" s="120">
        <v>40</v>
      </c>
      <c r="O627" s="120">
        <v>2</v>
      </c>
      <c r="P627" s="120">
        <v>5</v>
      </c>
      <c r="Q627" s="120">
        <v>105</v>
      </c>
      <c r="R627" s="120">
        <v>85.400001525878906</v>
      </c>
      <c r="S627" s="148">
        <v>16</v>
      </c>
      <c r="T627" s="120">
        <v>65</v>
      </c>
      <c r="U627" s="120">
        <v>20</v>
      </c>
      <c r="V627" s="120">
        <v>-9999</v>
      </c>
      <c r="W627" s="120">
        <v>-9999</v>
      </c>
      <c r="X627" s="120">
        <v>-9999</v>
      </c>
      <c r="Y627" s="120">
        <v>-9999</v>
      </c>
      <c r="Z627" s="120">
        <v>-9999</v>
      </c>
      <c r="AA627" s="120">
        <v>68</v>
      </c>
      <c r="AB627" s="120">
        <v>14.5</v>
      </c>
      <c r="AC627" s="120">
        <v>626</v>
      </c>
      <c r="AD627" s="120">
        <v>1898</v>
      </c>
      <c r="AE627" s="120">
        <v>-9999</v>
      </c>
      <c r="AF627" s="120">
        <v>-9999</v>
      </c>
      <c r="AG627" s="120">
        <v>-9999</v>
      </c>
    </row>
    <row r="628" spans="1:33" x14ac:dyDescent="0.25">
      <c r="A628" s="120">
        <v>627</v>
      </c>
      <c r="B628" s="120" t="b">
        <v>0</v>
      </c>
      <c r="C628" s="120">
        <v>0</v>
      </c>
      <c r="D628" s="61">
        <v>2</v>
      </c>
      <c r="E628" s="120">
        <v>1</v>
      </c>
      <c r="F628" s="120" t="s">
        <v>176</v>
      </c>
      <c r="G628" s="55">
        <v>100</v>
      </c>
      <c r="H628" s="120">
        <v>560</v>
      </c>
      <c r="I628" s="57">
        <v>100</v>
      </c>
      <c r="J628" s="120">
        <v>100</v>
      </c>
      <c r="K628" s="120">
        <v>2</v>
      </c>
      <c r="L628" s="120">
        <v>50</v>
      </c>
      <c r="M628" s="120">
        <v>15</v>
      </c>
      <c r="N628" s="120">
        <v>40</v>
      </c>
      <c r="O628" s="120">
        <v>2</v>
      </c>
      <c r="P628" s="120">
        <v>20</v>
      </c>
      <c r="Q628" s="120">
        <v>110</v>
      </c>
      <c r="R628" s="120">
        <v>89.5</v>
      </c>
      <c r="S628" s="148">
        <v>16</v>
      </c>
      <c r="T628" s="120">
        <v>65</v>
      </c>
      <c r="U628" s="120">
        <v>20</v>
      </c>
      <c r="V628" s="120">
        <v>-9999</v>
      </c>
      <c r="W628" s="120">
        <v>-9999</v>
      </c>
      <c r="X628" s="120">
        <v>-9999</v>
      </c>
      <c r="Y628" s="120">
        <v>-9999</v>
      </c>
      <c r="Z628" s="120">
        <v>-9999</v>
      </c>
      <c r="AA628" s="120">
        <v>68</v>
      </c>
      <c r="AB628" s="120">
        <v>14.5</v>
      </c>
      <c r="AC628" s="120">
        <v>627</v>
      </c>
      <c r="AD628" s="120">
        <v>1899</v>
      </c>
      <c r="AE628" s="120">
        <v>-9999</v>
      </c>
      <c r="AF628" s="120">
        <v>-9999</v>
      </c>
      <c r="AG628" s="120">
        <v>-9999</v>
      </c>
    </row>
    <row r="629" spans="1:33" x14ac:dyDescent="0.25">
      <c r="A629" s="120">
        <v>628</v>
      </c>
      <c r="B629" s="120" t="b">
        <v>0</v>
      </c>
      <c r="C629" s="120">
        <v>0</v>
      </c>
      <c r="D629" s="61">
        <v>2</v>
      </c>
      <c r="E629" s="120">
        <v>1</v>
      </c>
      <c r="F629" s="120" t="s">
        <v>176</v>
      </c>
      <c r="G629" s="55">
        <v>100</v>
      </c>
      <c r="H629" s="120">
        <v>560</v>
      </c>
      <c r="I629" s="57">
        <v>100</v>
      </c>
      <c r="J629" s="120">
        <v>100</v>
      </c>
      <c r="K629" s="120">
        <v>3</v>
      </c>
      <c r="L629" s="120">
        <v>40</v>
      </c>
      <c r="M629" s="120">
        <v>15</v>
      </c>
      <c r="N629" s="120">
        <v>40</v>
      </c>
      <c r="O629" s="120">
        <v>2</v>
      </c>
      <c r="P629" s="120">
        <v>16.666999816894499</v>
      </c>
      <c r="Q629" s="120">
        <v>110</v>
      </c>
      <c r="R629" s="120">
        <v>89.5</v>
      </c>
      <c r="S629" s="148">
        <v>16</v>
      </c>
      <c r="T629" s="120">
        <v>57</v>
      </c>
      <c r="U629" s="120">
        <v>20</v>
      </c>
      <c r="V629" s="120">
        <v>-9999</v>
      </c>
      <c r="W629" s="120">
        <v>-9999</v>
      </c>
      <c r="X629" s="120">
        <v>-9999</v>
      </c>
      <c r="Y629" s="120">
        <v>-9999</v>
      </c>
      <c r="Z629" s="120">
        <v>-9999</v>
      </c>
      <c r="AA629" s="120">
        <v>68</v>
      </c>
      <c r="AB629" s="120">
        <v>14.5</v>
      </c>
      <c r="AC629" s="120">
        <v>628</v>
      </c>
      <c r="AD629" s="120">
        <v>1900</v>
      </c>
      <c r="AE629" s="120">
        <v>-9999</v>
      </c>
      <c r="AF629" s="120">
        <v>-9999</v>
      </c>
      <c r="AG629" s="120">
        <v>-9999</v>
      </c>
    </row>
    <row r="630" spans="1:33" x14ac:dyDescent="0.25">
      <c r="A630" s="120">
        <v>629</v>
      </c>
      <c r="B630" s="120" t="b">
        <v>0</v>
      </c>
      <c r="C630" s="120">
        <v>0</v>
      </c>
      <c r="D630" s="61">
        <v>2</v>
      </c>
      <c r="E630" s="120">
        <v>1</v>
      </c>
      <c r="F630" s="120" t="s">
        <v>176</v>
      </c>
      <c r="G630" s="55">
        <v>100</v>
      </c>
      <c r="H630" s="120">
        <v>535</v>
      </c>
      <c r="I630" s="57">
        <v>100</v>
      </c>
      <c r="J630" s="120">
        <v>110</v>
      </c>
      <c r="K630" s="120">
        <v>4</v>
      </c>
      <c r="L630" s="120">
        <v>100</v>
      </c>
      <c r="M630" s="120">
        <v>15</v>
      </c>
      <c r="N630" s="120">
        <v>40</v>
      </c>
      <c r="O630" s="120">
        <v>2</v>
      </c>
      <c r="P630" s="120">
        <v>-9999</v>
      </c>
      <c r="Q630" s="120">
        <v>105</v>
      </c>
      <c r="R630" s="120">
        <v>85.400001525878906</v>
      </c>
      <c r="S630" s="148">
        <v>16</v>
      </c>
      <c r="T630" s="120">
        <v>-9999</v>
      </c>
      <c r="U630" s="120">
        <v>20</v>
      </c>
      <c r="V630" s="120">
        <v>-9999</v>
      </c>
      <c r="W630" s="120">
        <v>-9999</v>
      </c>
      <c r="X630" s="120">
        <v>-9999</v>
      </c>
      <c r="Y630" s="120">
        <v>-9999</v>
      </c>
      <c r="Z630" s="120">
        <v>-9999</v>
      </c>
      <c r="AA630" s="120">
        <v>68</v>
      </c>
      <c r="AB630" s="120">
        <v>14.5</v>
      </c>
      <c r="AC630" s="120">
        <v>629</v>
      </c>
      <c r="AD630" s="120">
        <v>1901</v>
      </c>
      <c r="AE630" s="120">
        <v>-9999</v>
      </c>
      <c r="AF630" s="120">
        <v>-9999</v>
      </c>
      <c r="AG630" s="120">
        <v>-9999</v>
      </c>
    </row>
    <row r="631" spans="1:33" x14ac:dyDescent="0.25">
      <c r="A631" s="120">
        <v>630</v>
      </c>
      <c r="B631" s="120" t="b">
        <v>0</v>
      </c>
      <c r="C631" s="120">
        <v>0</v>
      </c>
      <c r="D631" s="61">
        <v>2</v>
      </c>
      <c r="E631" s="120">
        <v>1</v>
      </c>
      <c r="F631" s="120" t="s">
        <v>176</v>
      </c>
      <c r="G631" s="55">
        <v>100</v>
      </c>
      <c r="H631" s="120">
        <v>535</v>
      </c>
      <c r="I631" s="57">
        <v>100</v>
      </c>
      <c r="J631" s="120">
        <v>110</v>
      </c>
      <c r="K631" s="120">
        <v>11</v>
      </c>
      <c r="L631" s="120">
        <v>60</v>
      </c>
      <c r="M631" s="120">
        <v>15</v>
      </c>
      <c r="N631" s="120">
        <v>40</v>
      </c>
      <c r="O631" s="120">
        <v>2</v>
      </c>
      <c r="P631" s="120">
        <v>25</v>
      </c>
      <c r="Q631" s="120">
        <v>105</v>
      </c>
      <c r="R631" s="120">
        <v>85.400001525878906</v>
      </c>
      <c r="S631" s="148">
        <v>16</v>
      </c>
      <c r="T631" s="120">
        <v>70</v>
      </c>
      <c r="U631" s="120">
        <v>20</v>
      </c>
      <c r="V631" s="120">
        <v>-9999</v>
      </c>
      <c r="W631" s="120">
        <v>-9999</v>
      </c>
      <c r="X631" s="120">
        <v>-9999</v>
      </c>
      <c r="Y631" s="120">
        <v>-9999</v>
      </c>
      <c r="Z631" s="120">
        <v>-9999</v>
      </c>
      <c r="AA631" s="120">
        <v>68</v>
      </c>
      <c r="AB631" s="120">
        <v>14.5</v>
      </c>
      <c r="AC631" s="120">
        <v>630</v>
      </c>
      <c r="AD631" s="120">
        <v>1902</v>
      </c>
      <c r="AE631" s="120">
        <v>-9999</v>
      </c>
      <c r="AF631" s="120">
        <v>-9999</v>
      </c>
      <c r="AG631" s="120">
        <v>-9999</v>
      </c>
    </row>
    <row r="632" spans="1:33" x14ac:dyDescent="0.25">
      <c r="A632" s="120">
        <v>631</v>
      </c>
      <c r="B632" s="120" t="b">
        <v>0</v>
      </c>
      <c r="C632" s="120">
        <v>0</v>
      </c>
      <c r="D632" s="61">
        <v>2</v>
      </c>
      <c r="E632" s="120">
        <v>1</v>
      </c>
      <c r="F632" s="120" t="s">
        <v>176</v>
      </c>
      <c r="G632" s="55">
        <v>100</v>
      </c>
      <c r="H632" s="120">
        <v>492</v>
      </c>
      <c r="I632" s="57">
        <v>115</v>
      </c>
      <c r="J632" s="120">
        <v>125</v>
      </c>
      <c r="K632" s="120">
        <v>1</v>
      </c>
      <c r="L632" s="120">
        <v>50</v>
      </c>
      <c r="M632" s="120">
        <v>15</v>
      </c>
      <c r="N632" s="120">
        <v>40</v>
      </c>
      <c r="O632" s="120">
        <v>2</v>
      </c>
      <c r="P632" s="120">
        <v>5</v>
      </c>
      <c r="Q632" s="120">
        <v>105</v>
      </c>
      <c r="R632" s="120">
        <v>85.400001525878906</v>
      </c>
      <c r="S632" s="148">
        <v>17.399999618530298</v>
      </c>
      <c r="T632" s="120">
        <v>65</v>
      </c>
      <c r="U632" s="120">
        <v>20</v>
      </c>
      <c r="V632" s="120">
        <v>-9999</v>
      </c>
      <c r="W632" s="120">
        <v>-9999</v>
      </c>
      <c r="X632" s="120">
        <v>-9999</v>
      </c>
      <c r="Y632" s="120">
        <v>-9999</v>
      </c>
      <c r="Z632" s="120">
        <v>-9999</v>
      </c>
      <c r="AA632" s="120">
        <v>68</v>
      </c>
      <c r="AB632" s="120">
        <v>14.5</v>
      </c>
      <c r="AC632" s="120">
        <v>631</v>
      </c>
      <c r="AD632" s="120">
        <v>1903</v>
      </c>
      <c r="AE632" s="120">
        <v>-9999</v>
      </c>
      <c r="AF632" s="120">
        <v>-9999</v>
      </c>
      <c r="AG632" s="120">
        <v>-9999</v>
      </c>
    </row>
    <row r="633" spans="1:33" x14ac:dyDescent="0.25">
      <c r="A633" s="120">
        <v>632</v>
      </c>
      <c r="B633" s="120" t="b">
        <v>0</v>
      </c>
      <c r="C633" s="120">
        <v>0</v>
      </c>
      <c r="D633" s="61">
        <v>2</v>
      </c>
      <c r="E633" s="120">
        <v>1</v>
      </c>
      <c r="F633" s="120" t="s">
        <v>176</v>
      </c>
      <c r="G633" s="55">
        <v>100</v>
      </c>
      <c r="H633" s="120">
        <v>515</v>
      </c>
      <c r="I633" s="57">
        <v>115</v>
      </c>
      <c r="J633" s="120">
        <v>115</v>
      </c>
      <c r="K633" s="120">
        <v>2</v>
      </c>
      <c r="L633" s="120">
        <v>50</v>
      </c>
      <c r="M633" s="120">
        <v>15</v>
      </c>
      <c r="N633" s="120">
        <v>40</v>
      </c>
      <c r="O633" s="120">
        <v>2</v>
      </c>
      <c r="P633" s="120">
        <v>20</v>
      </c>
      <c r="Q633" s="120">
        <v>110</v>
      </c>
      <c r="R633" s="120">
        <v>89.5</v>
      </c>
      <c r="S633" s="148">
        <v>17.399999618530298</v>
      </c>
      <c r="T633" s="120">
        <v>65</v>
      </c>
      <c r="U633" s="120">
        <v>20</v>
      </c>
      <c r="V633" s="120">
        <v>-9999</v>
      </c>
      <c r="W633" s="120">
        <v>-9999</v>
      </c>
      <c r="X633" s="120">
        <v>-9999</v>
      </c>
      <c r="Y633" s="120">
        <v>-9999</v>
      </c>
      <c r="Z633" s="120">
        <v>-9999</v>
      </c>
      <c r="AA633" s="120">
        <v>68</v>
      </c>
      <c r="AB633" s="120">
        <v>14.5</v>
      </c>
      <c r="AC633" s="120">
        <v>632</v>
      </c>
      <c r="AD633" s="120">
        <v>1904</v>
      </c>
      <c r="AE633" s="120">
        <v>-9999</v>
      </c>
      <c r="AF633" s="120">
        <v>-9999</v>
      </c>
      <c r="AG633" s="120">
        <v>-9999</v>
      </c>
    </row>
    <row r="634" spans="1:33" x14ac:dyDescent="0.25">
      <c r="A634" s="120">
        <v>633</v>
      </c>
      <c r="B634" s="120" t="b">
        <v>0</v>
      </c>
      <c r="C634" s="120">
        <v>0</v>
      </c>
      <c r="D634" s="61">
        <v>2</v>
      </c>
      <c r="E634" s="120">
        <v>1</v>
      </c>
      <c r="F634" s="120" t="s">
        <v>176</v>
      </c>
      <c r="G634" s="55">
        <v>100</v>
      </c>
      <c r="H634" s="120">
        <v>515</v>
      </c>
      <c r="I634" s="57">
        <v>115</v>
      </c>
      <c r="J634" s="120">
        <v>115</v>
      </c>
      <c r="K634" s="120">
        <v>3</v>
      </c>
      <c r="L634" s="120">
        <v>40</v>
      </c>
      <c r="M634" s="120">
        <v>15</v>
      </c>
      <c r="N634" s="120">
        <v>40</v>
      </c>
      <c r="O634" s="120">
        <v>2</v>
      </c>
      <c r="P634" s="120">
        <v>16.666999816894499</v>
      </c>
      <c r="Q634" s="120">
        <v>110</v>
      </c>
      <c r="R634" s="120">
        <v>89.5</v>
      </c>
      <c r="S634" s="148">
        <v>17.399999618530298</v>
      </c>
      <c r="T634" s="120">
        <v>57</v>
      </c>
      <c r="U634" s="120">
        <v>20</v>
      </c>
      <c r="V634" s="120">
        <v>-9999</v>
      </c>
      <c r="W634" s="120">
        <v>-9999</v>
      </c>
      <c r="X634" s="120">
        <v>-9999</v>
      </c>
      <c r="Y634" s="120">
        <v>-9999</v>
      </c>
      <c r="Z634" s="120">
        <v>-9999</v>
      </c>
      <c r="AA634" s="120">
        <v>68</v>
      </c>
      <c r="AB634" s="120">
        <v>14.5</v>
      </c>
      <c r="AC634" s="120">
        <v>633</v>
      </c>
      <c r="AD634" s="120">
        <v>1905</v>
      </c>
      <c r="AE634" s="120">
        <v>-9999</v>
      </c>
      <c r="AF634" s="120">
        <v>-9999</v>
      </c>
      <c r="AG634" s="120">
        <v>-9999</v>
      </c>
    </row>
    <row r="635" spans="1:33" x14ac:dyDescent="0.25">
      <c r="A635" s="120">
        <v>634</v>
      </c>
      <c r="B635" s="120" t="b">
        <v>0</v>
      </c>
      <c r="C635" s="120">
        <v>0</v>
      </c>
      <c r="D635" s="61">
        <v>2</v>
      </c>
      <c r="E635" s="120">
        <v>1</v>
      </c>
      <c r="F635" s="120" t="s">
        <v>176</v>
      </c>
      <c r="G635" s="55">
        <v>100</v>
      </c>
      <c r="H635" s="120">
        <v>492</v>
      </c>
      <c r="I635" s="57">
        <v>115</v>
      </c>
      <c r="J635" s="120">
        <v>125</v>
      </c>
      <c r="K635" s="120">
        <v>4</v>
      </c>
      <c r="L635" s="120">
        <v>100</v>
      </c>
      <c r="M635" s="120">
        <v>15</v>
      </c>
      <c r="N635" s="120">
        <v>40</v>
      </c>
      <c r="O635" s="120">
        <v>2</v>
      </c>
      <c r="P635" s="120">
        <v>-9999</v>
      </c>
      <c r="Q635" s="120">
        <v>105</v>
      </c>
      <c r="R635" s="120">
        <v>85.400001525878906</v>
      </c>
      <c r="S635" s="148">
        <v>17.399999618530298</v>
      </c>
      <c r="T635" s="120">
        <v>-9999</v>
      </c>
      <c r="U635" s="120">
        <v>20</v>
      </c>
      <c r="V635" s="120">
        <v>-9999</v>
      </c>
      <c r="W635" s="120">
        <v>-9999</v>
      </c>
      <c r="X635" s="120">
        <v>-9999</v>
      </c>
      <c r="Y635" s="120">
        <v>-9999</v>
      </c>
      <c r="Z635" s="120">
        <v>-9999</v>
      </c>
      <c r="AA635" s="120">
        <v>68</v>
      </c>
      <c r="AB635" s="120">
        <v>14.5</v>
      </c>
      <c r="AC635" s="120">
        <v>634</v>
      </c>
      <c r="AD635" s="120">
        <v>1906</v>
      </c>
      <c r="AE635" s="120">
        <v>-9999</v>
      </c>
      <c r="AF635" s="120">
        <v>-9999</v>
      </c>
      <c r="AG635" s="120">
        <v>-9999</v>
      </c>
    </row>
    <row r="636" spans="1:33" x14ac:dyDescent="0.25">
      <c r="A636" s="120">
        <v>635</v>
      </c>
      <c r="B636" s="120" t="b">
        <v>0</v>
      </c>
      <c r="C636" s="120">
        <v>0</v>
      </c>
      <c r="D636" s="61">
        <v>2</v>
      </c>
      <c r="E636" s="120">
        <v>1</v>
      </c>
      <c r="F636" s="120" t="s">
        <v>176</v>
      </c>
      <c r="G636" s="55">
        <v>100</v>
      </c>
      <c r="H636" s="120">
        <v>492</v>
      </c>
      <c r="I636" s="57">
        <v>115</v>
      </c>
      <c r="J636" s="120">
        <v>125</v>
      </c>
      <c r="K636" s="120">
        <v>11</v>
      </c>
      <c r="L636" s="120">
        <v>60</v>
      </c>
      <c r="M636" s="120">
        <v>15</v>
      </c>
      <c r="N636" s="120">
        <v>40</v>
      </c>
      <c r="O636" s="120">
        <v>2</v>
      </c>
      <c r="P636" s="120">
        <v>25</v>
      </c>
      <c r="Q636" s="120">
        <v>105</v>
      </c>
      <c r="R636" s="120">
        <v>85.400001525878906</v>
      </c>
      <c r="S636" s="148">
        <v>17.399999618530298</v>
      </c>
      <c r="T636" s="120">
        <v>70</v>
      </c>
      <c r="U636" s="120">
        <v>20</v>
      </c>
      <c r="V636" s="120">
        <v>-9999</v>
      </c>
      <c r="W636" s="120">
        <v>-9999</v>
      </c>
      <c r="X636" s="120">
        <v>-9999</v>
      </c>
      <c r="Y636" s="120">
        <v>-9999</v>
      </c>
      <c r="Z636" s="120">
        <v>-9999</v>
      </c>
      <c r="AA636" s="120">
        <v>68</v>
      </c>
      <c r="AB636" s="120">
        <v>14.5</v>
      </c>
      <c r="AC636" s="120">
        <v>635</v>
      </c>
      <c r="AD636" s="120">
        <v>1907</v>
      </c>
      <c r="AE636" s="120">
        <v>-9999</v>
      </c>
      <c r="AF636" s="120">
        <v>-9999</v>
      </c>
      <c r="AG636" s="120">
        <v>-9999</v>
      </c>
    </row>
    <row r="637" spans="1:33" x14ac:dyDescent="0.25">
      <c r="A637" s="120">
        <v>636</v>
      </c>
      <c r="B637" s="120" t="b">
        <v>0</v>
      </c>
      <c r="C637" s="120">
        <v>0</v>
      </c>
      <c r="D637" s="61">
        <v>2</v>
      </c>
      <c r="E637" s="120">
        <v>1</v>
      </c>
      <c r="F637" s="120" t="s">
        <v>176</v>
      </c>
      <c r="G637" s="55">
        <v>100</v>
      </c>
      <c r="H637" s="120">
        <v>481</v>
      </c>
      <c r="I637" s="57">
        <v>125</v>
      </c>
      <c r="J637" s="120">
        <v>135</v>
      </c>
      <c r="K637" s="120">
        <v>1</v>
      </c>
      <c r="L637" s="120">
        <v>50</v>
      </c>
      <c r="M637" s="120">
        <v>15</v>
      </c>
      <c r="N637" s="120">
        <v>40</v>
      </c>
      <c r="O637" s="120">
        <v>2</v>
      </c>
      <c r="P637" s="120">
        <v>5</v>
      </c>
      <c r="Q637" s="120">
        <v>105</v>
      </c>
      <c r="R637" s="120">
        <v>85.400001525878906</v>
      </c>
      <c r="S637" s="148">
        <v>17.799999237060501</v>
      </c>
      <c r="T637" s="120">
        <v>65</v>
      </c>
      <c r="U637" s="120">
        <v>20</v>
      </c>
      <c r="V637" s="120">
        <v>-9999</v>
      </c>
      <c r="W637" s="120">
        <v>-9999</v>
      </c>
      <c r="X637" s="120">
        <v>-9999</v>
      </c>
      <c r="Y637" s="120">
        <v>-9999</v>
      </c>
      <c r="Z637" s="120">
        <v>-9999</v>
      </c>
      <c r="AA637" s="120">
        <v>68</v>
      </c>
      <c r="AB637" s="120">
        <v>14.5</v>
      </c>
      <c r="AC637" s="120">
        <v>636</v>
      </c>
      <c r="AD637" s="120">
        <v>1908</v>
      </c>
      <c r="AE637" s="120">
        <v>-9999</v>
      </c>
      <c r="AF637" s="120">
        <v>-9999</v>
      </c>
      <c r="AG637" s="120">
        <v>-9999</v>
      </c>
    </row>
    <row r="638" spans="1:33" x14ac:dyDescent="0.25">
      <c r="A638" s="120">
        <v>637</v>
      </c>
      <c r="B638" s="120" t="b">
        <v>0</v>
      </c>
      <c r="C638" s="120">
        <v>0</v>
      </c>
      <c r="D638" s="61">
        <v>2</v>
      </c>
      <c r="E638" s="120">
        <v>1</v>
      </c>
      <c r="F638" s="120" t="s">
        <v>176</v>
      </c>
      <c r="G638" s="55">
        <v>100</v>
      </c>
      <c r="H638" s="120">
        <v>504</v>
      </c>
      <c r="I638" s="57">
        <v>125</v>
      </c>
      <c r="J638" s="120">
        <v>125</v>
      </c>
      <c r="K638" s="120">
        <v>2</v>
      </c>
      <c r="L638" s="120">
        <v>50</v>
      </c>
      <c r="M638" s="120">
        <v>15</v>
      </c>
      <c r="N638" s="120">
        <v>40</v>
      </c>
      <c r="O638" s="120">
        <v>2</v>
      </c>
      <c r="P638" s="120">
        <v>20</v>
      </c>
      <c r="Q638" s="120">
        <v>110</v>
      </c>
      <c r="R638" s="120">
        <v>89.5</v>
      </c>
      <c r="S638" s="148">
        <v>17.799999237060501</v>
      </c>
      <c r="T638" s="120">
        <v>65</v>
      </c>
      <c r="U638" s="120">
        <v>20</v>
      </c>
      <c r="V638" s="120">
        <v>-9999</v>
      </c>
      <c r="W638" s="120">
        <v>-9999</v>
      </c>
      <c r="X638" s="120">
        <v>-9999</v>
      </c>
      <c r="Y638" s="120">
        <v>-9999</v>
      </c>
      <c r="Z638" s="120">
        <v>-9999</v>
      </c>
      <c r="AA638" s="120">
        <v>68</v>
      </c>
      <c r="AB638" s="120">
        <v>14.5</v>
      </c>
      <c r="AC638" s="120">
        <v>637</v>
      </c>
      <c r="AD638" s="120">
        <v>1909</v>
      </c>
      <c r="AE638" s="120">
        <v>-9999</v>
      </c>
      <c r="AF638" s="120">
        <v>-9999</v>
      </c>
      <c r="AG638" s="120">
        <v>-9999</v>
      </c>
    </row>
    <row r="639" spans="1:33" x14ac:dyDescent="0.25">
      <c r="A639" s="120">
        <v>638</v>
      </c>
      <c r="B639" s="120" t="b">
        <v>0</v>
      </c>
      <c r="C639" s="120">
        <v>0</v>
      </c>
      <c r="D639" s="61">
        <v>2</v>
      </c>
      <c r="E639" s="120">
        <v>1</v>
      </c>
      <c r="F639" s="120" t="s">
        <v>176</v>
      </c>
      <c r="G639" s="55">
        <v>100</v>
      </c>
      <c r="H639" s="120">
        <v>504</v>
      </c>
      <c r="I639" s="57">
        <v>125</v>
      </c>
      <c r="J639" s="120">
        <v>125</v>
      </c>
      <c r="K639" s="120">
        <v>3</v>
      </c>
      <c r="L639" s="120">
        <v>40</v>
      </c>
      <c r="M639" s="120">
        <v>15</v>
      </c>
      <c r="N639" s="120">
        <v>40</v>
      </c>
      <c r="O639" s="120">
        <v>2</v>
      </c>
      <c r="P639" s="120">
        <v>16.666999816894499</v>
      </c>
      <c r="Q639" s="120">
        <v>110</v>
      </c>
      <c r="R639" s="120">
        <v>89.5</v>
      </c>
      <c r="S639" s="148">
        <v>17.799999237060501</v>
      </c>
      <c r="T639" s="120">
        <v>57</v>
      </c>
      <c r="U639" s="120">
        <v>20</v>
      </c>
      <c r="V639" s="120">
        <v>-9999</v>
      </c>
      <c r="W639" s="120">
        <v>-9999</v>
      </c>
      <c r="X639" s="120">
        <v>-9999</v>
      </c>
      <c r="Y639" s="120">
        <v>-9999</v>
      </c>
      <c r="Z639" s="120">
        <v>-9999</v>
      </c>
      <c r="AA639" s="120">
        <v>68</v>
      </c>
      <c r="AB639" s="120">
        <v>14.5</v>
      </c>
      <c r="AC639" s="120">
        <v>638</v>
      </c>
      <c r="AD639" s="120">
        <v>1910</v>
      </c>
      <c r="AE639" s="120">
        <v>-9999</v>
      </c>
      <c r="AF639" s="120">
        <v>-9999</v>
      </c>
      <c r="AG639" s="120">
        <v>-9999</v>
      </c>
    </row>
    <row r="640" spans="1:33" x14ac:dyDescent="0.25">
      <c r="A640" s="120">
        <v>639</v>
      </c>
      <c r="B640" s="120" t="b">
        <v>0</v>
      </c>
      <c r="C640" s="120">
        <v>0</v>
      </c>
      <c r="D640" s="61">
        <v>2</v>
      </c>
      <c r="E640" s="120">
        <v>1</v>
      </c>
      <c r="F640" s="120" t="s">
        <v>176</v>
      </c>
      <c r="G640" s="55">
        <v>100</v>
      </c>
      <c r="H640" s="120">
        <v>481</v>
      </c>
      <c r="I640" s="57">
        <v>125</v>
      </c>
      <c r="J640" s="120">
        <v>135</v>
      </c>
      <c r="K640" s="120">
        <v>4</v>
      </c>
      <c r="L640" s="120">
        <v>100</v>
      </c>
      <c r="M640" s="120">
        <v>15</v>
      </c>
      <c r="N640" s="120">
        <v>40</v>
      </c>
      <c r="O640" s="120">
        <v>2</v>
      </c>
      <c r="P640" s="120">
        <v>-9999</v>
      </c>
      <c r="Q640" s="120">
        <v>105</v>
      </c>
      <c r="R640" s="120">
        <v>85.400001525878906</v>
      </c>
      <c r="S640" s="148">
        <v>17.799999237060501</v>
      </c>
      <c r="T640" s="120">
        <v>-9999</v>
      </c>
      <c r="U640" s="120">
        <v>20</v>
      </c>
      <c r="V640" s="120">
        <v>-9999</v>
      </c>
      <c r="W640" s="120">
        <v>-9999</v>
      </c>
      <c r="X640" s="120">
        <v>-9999</v>
      </c>
      <c r="Y640" s="120">
        <v>-9999</v>
      </c>
      <c r="Z640" s="120">
        <v>-9999</v>
      </c>
      <c r="AA640" s="120">
        <v>68</v>
      </c>
      <c r="AB640" s="120">
        <v>14.5</v>
      </c>
      <c r="AC640" s="120">
        <v>639</v>
      </c>
      <c r="AD640" s="120">
        <v>1911</v>
      </c>
      <c r="AE640" s="120">
        <v>-9999</v>
      </c>
      <c r="AF640" s="120">
        <v>-9999</v>
      </c>
      <c r="AG640" s="120">
        <v>-9999</v>
      </c>
    </row>
    <row r="641" spans="1:33" x14ac:dyDescent="0.25">
      <c r="A641" s="120">
        <v>640</v>
      </c>
      <c r="B641" s="120" t="b">
        <v>0</v>
      </c>
      <c r="C641" s="120">
        <v>0</v>
      </c>
      <c r="D641" s="61">
        <v>2</v>
      </c>
      <c r="E641" s="120">
        <v>1</v>
      </c>
      <c r="F641" s="120" t="s">
        <v>176</v>
      </c>
      <c r="G641" s="55">
        <v>100</v>
      </c>
      <c r="H641" s="120">
        <v>481</v>
      </c>
      <c r="I641" s="57">
        <v>125</v>
      </c>
      <c r="J641" s="120">
        <v>135</v>
      </c>
      <c r="K641" s="120">
        <v>11</v>
      </c>
      <c r="L641" s="120">
        <v>60</v>
      </c>
      <c r="M641" s="120">
        <v>15</v>
      </c>
      <c r="N641" s="120">
        <v>40</v>
      </c>
      <c r="O641" s="120">
        <v>2</v>
      </c>
      <c r="P641" s="120">
        <v>25</v>
      </c>
      <c r="Q641" s="120">
        <v>105</v>
      </c>
      <c r="R641" s="120">
        <v>85.400001525878906</v>
      </c>
      <c r="S641" s="148">
        <v>17.799999237060501</v>
      </c>
      <c r="T641" s="120">
        <v>70</v>
      </c>
      <c r="U641" s="120">
        <v>20</v>
      </c>
      <c r="V641" s="120">
        <v>-9999</v>
      </c>
      <c r="W641" s="120">
        <v>-9999</v>
      </c>
      <c r="X641" s="120">
        <v>-9999</v>
      </c>
      <c r="Y641" s="120">
        <v>-9999</v>
      </c>
      <c r="Z641" s="120">
        <v>-9999</v>
      </c>
      <c r="AA641" s="120">
        <v>68</v>
      </c>
      <c r="AB641" s="120">
        <v>14.5</v>
      </c>
      <c r="AC641" s="120">
        <v>640</v>
      </c>
      <c r="AD641" s="120">
        <v>1912</v>
      </c>
      <c r="AE641" s="120">
        <v>-9999</v>
      </c>
      <c r="AF641" s="120">
        <v>-9999</v>
      </c>
      <c r="AG641" s="120">
        <v>-9999</v>
      </c>
    </row>
    <row r="642" spans="1:33" x14ac:dyDescent="0.25">
      <c r="A642" s="120">
        <v>641</v>
      </c>
      <c r="B642" s="120" t="b">
        <v>0</v>
      </c>
      <c r="C642" s="120">
        <v>0</v>
      </c>
      <c r="D642" s="61">
        <v>2</v>
      </c>
      <c r="E642" s="120">
        <v>1</v>
      </c>
      <c r="F642" s="120" t="s">
        <v>176</v>
      </c>
      <c r="G642" s="55">
        <v>100</v>
      </c>
      <c r="H642" s="120">
        <v>449</v>
      </c>
      <c r="I642" s="57">
        <v>140</v>
      </c>
      <c r="J642" s="120">
        <v>150</v>
      </c>
      <c r="K642" s="120">
        <v>1</v>
      </c>
      <c r="L642" s="120">
        <v>50</v>
      </c>
      <c r="M642" s="120">
        <v>15</v>
      </c>
      <c r="N642" s="120">
        <v>40</v>
      </c>
      <c r="O642" s="120">
        <v>2</v>
      </c>
      <c r="P642" s="120">
        <v>5</v>
      </c>
      <c r="Q642" s="120">
        <v>105</v>
      </c>
      <c r="R642" s="120">
        <v>85.400001525878906</v>
      </c>
      <c r="S642" s="148">
        <v>19</v>
      </c>
      <c r="T642" s="120">
        <v>65</v>
      </c>
      <c r="U642" s="120">
        <v>20</v>
      </c>
      <c r="V642" s="120">
        <v>-9999</v>
      </c>
      <c r="W642" s="120">
        <v>-9999</v>
      </c>
      <c r="X642" s="120">
        <v>-9999</v>
      </c>
      <c r="Y642" s="120">
        <v>-9999</v>
      </c>
      <c r="Z642" s="120">
        <v>-9999</v>
      </c>
      <c r="AA642" s="120">
        <v>68</v>
      </c>
      <c r="AB642" s="120">
        <v>14.5</v>
      </c>
      <c r="AC642" s="120">
        <v>641</v>
      </c>
      <c r="AD642" s="120">
        <v>1913</v>
      </c>
      <c r="AE642" s="120">
        <v>-9999</v>
      </c>
      <c r="AF642" s="120">
        <v>-9999</v>
      </c>
      <c r="AG642" s="120">
        <v>-9999</v>
      </c>
    </row>
    <row r="643" spans="1:33" x14ac:dyDescent="0.25">
      <c r="A643" s="120">
        <v>642</v>
      </c>
      <c r="B643" s="120" t="b">
        <v>0</v>
      </c>
      <c r="C643" s="120">
        <v>0</v>
      </c>
      <c r="D643" s="61">
        <v>2</v>
      </c>
      <c r="E643" s="120">
        <v>1</v>
      </c>
      <c r="F643" s="120" t="s">
        <v>176</v>
      </c>
      <c r="G643" s="55">
        <v>100</v>
      </c>
      <c r="H643" s="120">
        <v>470</v>
      </c>
      <c r="I643" s="57">
        <v>140</v>
      </c>
      <c r="J643" s="120">
        <v>140</v>
      </c>
      <c r="K643" s="120">
        <v>2</v>
      </c>
      <c r="L643" s="120">
        <v>50</v>
      </c>
      <c r="M643" s="120">
        <v>15</v>
      </c>
      <c r="N643" s="120">
        <v>40</v>
      </c>
      <c r="O643" s="120">
        <v>2</v>
      </c>
      <c r="P643" s="120">
        <v>20</v>
      </c>
      <c r="Q643" s="120">
        <v>110</v>
      </c>
      <c r="R643" s="120">
        <v>89.5</v>
      </c>
      <c r="S643" s="148">
        <v>19</v>
      </c>
      <c r="T643" s="120">
        <v>65</v>
      </c>
      <c r="U643" s="120">
        <v>20</v>
      </c>
      <c r="V643" s="120">
        <v>-9999</v>
      </c>
      <c r="W643" s="120">
        <v>-9999</v>
      </c>
      <c r="X643" s="120">
        <v>-9999</v>
      </c>
      <c r="Y643" s="120">
        <v>-9999</v>
      </c>
      <c r="Z643" s="120">
        <v>-9999</v>
      </c>
      <c r="AA643" s="120">
        <v>68</v>
      </c>
      <c r="AB643" s="120">
        <v>14.5</v>
      </c>
      <c r="AC643" s="120">
        <v>642</v>
      </c>
      <c r="AD643" s="120">
        <v>1914</v>
      </c>
      <c r="AE643" s="120">
        <v>-9999</v>
      </c>
      <c r="AF643" s="120">
        <v>-9999</v>
      </c>
      <c r="AG643" s="120">
        <v>-9999</v>
      </c>
    </row>
    <row r="644" spans="1:33" x14ac:dyDescent="0.25">
      <c r="A644" s="120">
        <v>643</v>
      </c>
      <c r="B644" s="120" t="b">
        <v>0</v>
      </c>
      <c r="C644" s="120">
        <v>0</v>
      </c>
      <c r="D644" s="61">
        <v>2</v>
      </c>
      <c r="E644" s="120">
        <v>1</v>
      </c>
      <c r="F644" s="120" t="s">
        <v>176</v>
      </c>
      <c r="G644" s="55">
        <v>100</v>
      </c>
      <c r="H644" s="120">
        <v>470</v>
      </c>
      <c r="I644" s="57">
        <v>140</v>
      </c>
      <c r="J644" s="120">
        <v>140</v>
      </c>
      <c r="K644" s="120">
        <v>3</v>
      </c>
      <c r="L644" s="120">
        <v>40</v>
      </c>
      <c r="M644" s="120">
        <v>15</v>
      </c>
      <c r="N644" s="120">
        <v>40</v>
      </c>
      <c r="O644" s="120">
        <v>2</v>
      </c>
      <c r="P644" s="120">
        <v>16.666999816894499</v>
      </c>
      <c r="Q644" s="120">
        <v>110</v>
      </c>
      <c r="R644" s="120">
        <v>89.5</v>
      </c>
      <c r="S644" s="148">
        <v>19</v>
      </c>
      <c r="T644" s="120">
        <v>57</v>
      </c>
      <c r="U644" s="120">
        <v>20</v>
      </c>
      <c r="V644" s="120">
        <v>-9999</v>
      </c>
      <c r="W644" s="120">
        <v>-9999</v>
      </c>
      <c r="X644" s="120">
        <v>-9999</v>
      </c>
      <c r="Y644" s="120">
        <v>-9999</v>
      </c>
      <c r="Z644" s="120">
        <v>-9999</v>
      </c>
      <c r="AA644" s="120">
        <v>68</v>
      </c>
      <c r="AB644" s="120">
        <v>14.5</v>
      </c>
      <c r="AC644" s="120">
        <v>643</v>
      </c>
      <c r="AD644" s="120">
        <v>1915</v>
      </c>
      <c r="AE644" s="120">
        <v>-9999</v>
      </c>
      <c r="AF644" s="120">
        <v>-9999</v>
      </c>
      <c r="AG644" s="120">
        <v>-9999</v>
      </c>
    </row>
    <row r="645" spans="1:33" x14ac:dyDescent="0.25">
      <c r="A645" s="120">
        <v>644</v>
      </c>
      <c r="B645" s="120" t="b">
        <v>0</v>
      </c>
      <c r="C645" s="120">
        <v>0</v>
      </c>
      <c r="D645" s="61">
        <v>2</v>
      </c>
      <c r="E645" s="120">
        <v>1</v>
      </c>
      <c r="F645" s="120" t="s">
        <v>176</v>
      </c>
      <c r="G645" s="55">
        <v>100</v>
      </c>
      <c r="H645" s="120">
        <v>449</v>
      </c>
      <c r="I645" s="57">
        <v>140</v>
      </c>
      <c r="J645" s="120">
        <v>150</v>
      </c>
      <c r="K645" s="120">
        <v>4</v>
      </c>
      <c r="L645" s="120">
        <v>100</v>
      </c>
      <c r="M645" s="120">
        <v>15</v>
      </c>
      <c r="N645" s="120">
        <v>40</v>
      </c>
      <c r="O645" s="120">
        <v>2</v>
      </c>
      <c r="P645" s="120">
        <v>-9999</v>
      </c>
      <c r="Q645" s="120">
        <v>105</v>
      </c>
      <c r="R645" s="120">
        <v>85.400001525878906</v>
      </c>
      <c r="S645" s="148">
        <v>19</v>
      </c>
      <c r="T645" s="120">
        <v>-9999</v>
      </c>
      <c r="U645" s="120">
        <v>20</v>
      </c>
      <c r="V645" s="120">
        <v>-9999</v>
      </c>
      <c r="W645" s="120">
        <v>-9999</v>
      </c>
      <c r="X645" s="120">
        <v>-9999</v>
      </c>
      <c r="Y645" s="120">
        <v>-9999</v>
      </c>
      <c r="Z645" s="120">
        <v>-9999</v>
      </c>
      <c r="AA645" s="120">
        <v>68</v>
      </c>
      <c r="AB645" s="120">
        <v>14.5</v>
      </c>
      <c r="AC645" s="120">
        <v>644</v>
      </c>
      <c r="AD645" s="120">
        <v>1916</v>
      </c>
      <c r="AE645" s="120">
        <v>-9999</v>
      </c>
      <c r="AF645" s="120">
        <v>-9999</v>
      </c>
      <c r="AG645" s="120">
        <v>-9999</v>
      </c>
    </row>
    <row r="646" spans="1:33" x14ac:dyDescent="0.25">
      <c r="A646" s="120">
        <v>645</v>
      </c>
      <c r="B646" s="120" t="b">
        <v>0</v>
      </c>
      <c r="C646" s="120">
        <v>0</v>
      </c>
      <c r="D646" s="61">
        <v>2</v>
      </c>
      <c r="E646" s="120">
        <v>1</v>
      </c>
      <c r="F646" s="120" t="s">
        <v>176</v>
      </c>
      <c r="G646" s="55">
        <v>100</v>
      </c>
      <c r="H646" s="120">
        <v>449</v>
      </c>
      <c r="I646" s="57">
        <v>140</v>
      </c>
      <c r="J646" s="120">
        <v>150</v>
      </c>
      <c r="K646" s="120">
        <v>11</v>
      </c>
      <c r="L646" s="120">
        <v>60</v>
      </c>
      <c r="M646" s="120">
        <v>15</v>
      </c>
      <c r="N646" s="120">
        <v>40</v>
      </c>
      <c r="O646" s="120">
        <v>2</v>
      </c>
      <c r="P646" s="120">
        <v>25</v>
      </c>
      <c r="Q646" s="120">
        <v>105</v>
      </c>
      <c r="R646" s="120">
        <v>85.400001525878906</v>
      </c>
      <c r="S646" s="148">
        <v>19</v>
      </c>
      <c r="T646" s="120">
        <v>70</v>
      </c>
      <c r="U646" s="120">
        <v>20</v>
      </c>
      <c r="V646" s="120">
        <v>-9999</v>
      </c>
      <c r="W646" s="120">
        <v>-9999</v>
      </c>
      <c r="X646" s="120">
        <v>-9999</v>
      </c>
      <c r="Y646" s="120">
        <v>-9999</v>
      </c>
      <c r="Z646" s="120">
        <v>-9999</v>
      </c>
      <c r="AA646" s="120">
        <v>68</v>
      </c>
      <c r="AB646" s="120">
        <v>14.5</v>
      </c>
      <c r="AC646" s="120">
        <v>645</v>
      </c>
      <c r="AD646" s="120">
        <v>1917</v>
      </c>
      <c r="AE646" s="120">
        <v>-9999</v>
      </c>
      <c r="AF646" s="120">
        <v>-9999</v>
      </c>
      <c r="AG646" s="120">
        <v>-9999</v>
      </c>
    </row>
    <row r="647" spans="1:33" x14ac:dyDescent="0.25">
      <c r="A647" s="120">
        <v>646</v>
      </c>
      <c r="B647" s="120" t="b">
        <v>0</v>
      </c>
      <c r="C647" s="120">
        <v>0</v>
      </c>
      <c r="D647" s="61">
        <v>2</v>
      </c>
      <c r="E647" s="120">
        <v>1</v>
      </c>
      <c r="F647" s="120" t="s">
        <v>176</v>
      </c>
      <c r="G647" s="55">
        <v>100</v>
      </c>
      <c r="H647" s="120">
        <v>321</v>
      </c>
      <c r="I647" s="57">
        <v>200</v>
      </c>
      <c r="J647" s="120">
        <v>210</v>
      </c>
      <c r="K647" s="120">
        <v>1</v>
      </c>
      <c r="L647" s="120">
        <v>50</v>
      </c>
      <c r="M647" s="120">
        <v>15</v>
      </c>
      <c r="N647" s="120">
        <v>40</v>
      </c>
      <c r="O647" s="120">
        <v>2</v>
      </c>
      <c r="P647" s="120">
        <v>5</v>
      </c>
      <c r="Q647" s="120">
        <v>105</v>
      </c>
      <c r="R647" s="120">
        <v>85.400001525878906</v>
      </c>
      <c r="S647" s="148">
        <v>26.600000381469702</v>
      </c>
      <c r="T647" s="120">
        <v>65</v>
      </c>
      <c r="U647" s="120">
        <v>20</v>
      </c>
      <c r="V647" s="120">
        <v>-9999</v>
      </c>
      <c r="W647" s="120">
        <v>-9999</v>
      </c>
      <c r="X647" s="120">
        <v>-9999</v>
      </c>
      <c r="Y647" s="120">
        <v>-9999</v>
      </c>
      <c r="Z647" s="120">
        <v>-9999</v>
      </c>
      <c r="AA647" s="120">
        <v>68</v>
      </c>
      <c r="AB647" s="120">
        <v>14.5</v>
      </c>
      <c r="AC647" s="120">
        <v>646</v>
      </c>
      <c r="AD647" s="120">
        <v>1918</v>
      </c>
      <c r="AE647" s="120">
        <v>-9999</v>
      </c>
      <c r="AF647" s="120">
        <v>-9999</v>
      </c>
      <c r="AG647" s="120">
        <v>-9999</v>
      </c>
    </row>
    <row r="648" spans="1:33" x14ac:dyDescent="0.25">
      <c r="A648" s="120">
        <v>647</v>
      </c>
      <c r="B648" s="120" t="b">
        <v>0</v>
      </c>
      <c r="C648" s="120">
        <v>0</v>
      </c>
      <c r="D648" s="61">
        <v>2</v>
      </c>
      <c r="E648" s="120">
        <v>1</v>
      </c>
      <c r="F648" s="120" t="s">
        <v>176</v>
      </c>
      <c r="G648" s="55">
        <v>100</v>
      </c>
      <c r="H648" s="120">
        <v>336</v>
      </c>
      <c r="I648" s="57">
        <v>200</v>
      </c>
      <c r="J648" s="120">
        <v>200</v>
      </c>
      <c r="K648" s="120">
        <v>2</v>
      </c>
      <c r="L648" s="120">
        <v>50</v>
      </c>
      <c r="M648" s="120">
        <v>15</v>
      </c>
      <c r="N648" s="120">
        <v>40</v>
      </c>
      <c r="O648" s="120">
        <v>2</v>
      </c>
      <c r="P648" s="120">
        <v>20</v>
      </c>
      <c r="Q648" s="120">
        <v>110</v>
      </c>
      <c r="R648" s="120">
        <v>89.5</v>
      </c>
      <c r="S648" s="148">
        <v>26.600000381469702</v>
      </c>
      <c r="T648" s="120">
        <v>65</v>
      </c>
      <c r="U648" s="120">
        <v>20</v>
      </c>
      <c r="V648" s="120">
        <v>-9999</v>
      </c>
      <c r="W648" s="120">
        <v>-9999</v>
      </c>
      <c r="X648" s="120">
        <v>-9999</v>
      </c>
      <c r="Y648" s="120">
        <v>-9999</v>
      </c>
      <c r="Z648" s="120">
        <v>-9999</v>
      </c>
      <c r="AA648" s="120">
        <v>68</v>
      </c>
      <c r="AB648" s="120">
        <v>14.5</v>
      </c>
      <c r="AC648" s="120">
        <v>647</v>
      </c>
      <c r="AD648" s="120">
        <v>1919</v>
      </c>
      <c r="AE648" s="120">
        <v>-9999</v>
      </c>
      <c r="AF648" s="120">
        <v>-9999</v>
      </c>
      <c r="AG648" s="120">
        <v>-9999</v>
      </c>
    </row>
    <row r="649" spans="1:33" x14ac:dyDescent="0.25">
      <c r="A649" s="120">
        <v>648</v>
      </c>
      <c r="B649" s="120" t="b">
        <v>0</v>
      </c>
      <c r="C649" s="120">
        <v>0</v>
      </c>
      <c r="D649" s="61">
        <v>2</v>
      </c>
      <c r="E649" s="120">
        <v>1</v>
      </c>
      <c r="F649" s="120" t="s">
        <v>176</v>
      </c>
      <c r="G649" s="55">
        <v>100</v>
      </c>
      <c r="H649" s="120">
        <v>336</v>
      </c>
      <c r="I649" s="57">
        <v>200</v>
      </c>
      <c r="J649" s="120">
        <v>200</v>
      </c>
      <c r="K649" s="120">
        <v>3</v>
      </c>
      <c r="L649" s="120">
        <v>40</v>
      </c>
      <c r="M649" s="120">
        <v>15</v>
      </c>
      <c r="N649" s="120">
        <v>40</v>
      </c>
      <c r="O649" s="120">
        <v>2</v>
      </c>
      <c r="P649" s="120">
        <v>16.666999816894499</v>
      </c>
      <c r="Q649" s="120">
        <v>110</v>
      </c>
      <c r="R649" s="120">
        <v>89.5</v>
      </c>
      <c r="S649" s="148">
        <v>26.600000381469702</v>
      </c>
      <c r="T649" s="120">
        <v>57</v>
      </c>
      <c r="U649" s="120">
        <v>20</v>
      </c>
      <c r="V649" s="120">
        <v>-9999</v>
      </c>
      <c r="W649" s="120">
        <v>-9999</v>
      </c>
      <c r="X649" s="120">
        <v>-9999</v>
      </c>
      <c r="Y649" s="120">
        <v>-9999</v>
      </c>
      <c r="Z649" s="120">
        <v>-9999</v>
      </c>
      <c r="AA649" s="120">
        <v>68</v>
      </c>
      <c r="AB649" s="120">
        <v>14.5</v>
      </c>
      <c r="AC649" s="120">
        <v>648</v>
      </c>
      <c r="AD649" s="120">
        <v>1920</v>
      </c>
      <c r="AE649" s="120">
        <v>-9999</v>
      </c>
      <c r="AF649" s="120">
        <v>-9999</v>
      </c>
      <c r="AG649" s="120">
        <v>-9999</v>
      </c>
    </row>
    <row r="650" spans="1:33" x14ac:dyDescent="0.25">
      <c r="A650" s="120">
        <v>649</v>
      </c>
      <c r="B650" s="120" t="b">
        <v>0</v>
      </c>
      <c r="C650" s="120">
        <v>0</v>
      </c>
      <c r="D650" s="61">
        <v>2</v>
      </c>
      <c r="E650" s="120">
        <v>1</v>
      </c>
      <c r="F650" s="120" t="s">
        <v>176</v>
      </c>
      <c r="G650" s="55">
        <v>100</v>
      </c>
      <c r="H650" s="120">
        <v>321</v>
      </c>
      <c r="I650" s="57">
        <v>200</v>
      </c>
      <c r="J650" s="120">
        <v>210</v>
      </c>
      <c r="K650" s="120">
        <v>4</v>
      </c>
      <c r="L650" s="120">
        <v>100</v>
      </c>
      <c r="M650" s="120">
        <v>15</v>
      </c>
      <c r="N650" s="120">
        <v>40</v>
      </c>
      <c r="O650" s="120">
        <v>2</v>
      </c>
      <c r="P650" s="120">
        <v>-9999</v>
      </c>
      <c r="Q650" s="120">
        <v>105</v>
      </c>
      <c r="R650" s="120">
        <v>85.400001525878906</v>
      </c>
      <c r="S650" s="148">
        <v>26.600000381469702</v>
      </c>
      <c r="T650" s="120">
        <v>-9999</v>
      </c>
      <c r="U650" s="120">
        <v>20</v>
      </c>
      <c r="V650" s="120">
        <v>-9999</v>
      </c>
      <c r="W650" s="120">
        <v>-9999</v>
      </c>
      <c r="X650" s="120">
        <v>-9999</v>
      </c>
      <c r="Y650" s="120">
        <v>-9999</v>
      </c>
      <c r="Z650" s="120">
        <v>-9999</v>
      </c>
      <c r="AA650" s="120">
        <v>68</v>
      </c>
      <c r="AB650" s="120">
        <v>14.5</v>
      </c>
      <c r="AC650" s="120">
        <v>649</v>
      </c>
      <c r="AD650" s="120">
        <v>1921</v>
      </c>
      <c r="AE650" s="120">
        <v>-9999</v>
      </c>
      <c r="AF650" s="120">
        <v>-9999</v>
      </c>
      <c r="AG650" s="120">
        <v>-9999</v>
      </c>
    </row>
    <row r="651" spans="1:33" x14ac:dyDescent="0.25">
      <c r="A651" s="120">
        <v>650</v>
      </c>
      <c r="B651" s="120" t="b">
        <v>0</v>
      </c>
      <c r="C651" s="120">
        <v>0</v>
      </c>
      <c r="D651" s="61">
        <v>2</v>
      </c>
      <c r="E651" s="120">
        <v>1</v>
      </c>
      <c r="F651" s="120" t="s">
        <v>176</v>
      </c>
      <c r="G651" s="55">
        <v>100</v>
      </c>
      <c r="H651" s="120">
        <v>321</v>
      </c>
      <c r="I651" s="57">
        <v>200</v>
      </c>
      <c r="J651" s="120">
        <v>210</v>
      </c>
      <c r="K651" s="120">
        <v>11</v>
      </c>
      <c r="L651" s="120">
        <v>60</v>
      </c>
      <c r="M651" s="120">
        <v>15</v>
      </c>
      <c r="N651" s="120">
        <v>40</v>
      </c>
      <c r="O651" s="120">
        <v>2</v>
      </c>
      <c r="P651" s="120">
        <v>25</v>
      </c>
      <c r="Q651" s="120">
        <v>105</v>
      </c>
      <c r="R651" s="120">
        <v>85.400001525878906</v>
      </c>
      <c r="S651" s="148">
        <v>26.600000381469702</v>
      </c>
      <c r="T651" s="120">
        <v>70</v>
      </c>
      <c r="U651" s="120">
        <v>20</v>
      </c>
      <c r="V651" s="120">
        <v>-9999</v>
      </c>
      <c r="W651" s="120">
        <v>-9999</v>
      </c>
      <c r="X651" s="120">
        <v>-9999</v>
      </c>
      <c r="Y651" s="120">
        <v>-9999</v>
      </c>
      <c r="Z651" s="120">
        <v>-9999</v>
      </c>
      <c r="AA651" s="120">
        <v>68</v>
      </c>
      <c r="AB651" s="120">
        <v>14.5</v>
      </c>
      <c r="AC651" s="120">
        <v>650</v>
      </c>
      <c r="AD651" s="120">
        <v>1922</v>
      </c>
      <c r="AE651" s="120">
        <v>-9999</v>
      </c>
      <c r="AF651" s="120">
        <v>-9999</v>
      </c>
      <c r="AG651" s="120">
        <v>-9999</v>
      </c>
    </row>
    <row r="652" spans="1:33" x14ac:dyDescent="0.25">
      <c r="A652" s="120">
        <v>651</v>
      </c>
      <c r="B652" s="120" t="b">
        <v>0</v>
      </c>
      <c r="C652" s="120">
        <v>0</v>
      </c>
      <c r="D652" s="61">
        <v>2</v>
      </c>
      <c r="E652" s="120">
        <v>1</v>
      </c>
      <c r="F652" s="120" t="s">
        <v>177</v>
      </c>
      <c r="G652" s="55">
        <v>125</v>
      </c>
      <c r="H652" s="120">
        <v>659</v>
      </c>
      <c r="I652" s="57">
        <v>100</v>
      </c>
      <c r="J652" s="120">
        <v>110</v>
      </c>
      <c r="K652" s="120">
        <v>1</v>
      </c>
      <c r="L652" s="120">
        <v>50</v>
      </c>
      <c r="M652" s="120">
        <v>15</v>
      </c>
      <c r="N652" s="120">
        <v>40</v>
      </c>
      <c r="O652" s="120">
        <v>2</v>
      </c>
      <c r="P652" s="120">
        <v>5</v>
      </c>
      <c r="Q652" s="120">
        <v>131.30000305175801</v>
      </c>
      <c r="R652" s="120">
        <v>106</v>
      </c>
      <c r="S652" s="148">
        <v>16.100000381469702</v>
      </c>
      <c r="T652" s="120">
        <v>65</v>
      </c>
      <c r="U652" s="120">
        <v>20</v>
      </c>
      <c r="V652" s="120">
        <v>-9999</v>
      </c>
      <c r="W652" s="120">
        <v>-9999</v>
      </c>
      <c r="X652" s="120">
        <v>-9999</v>
      </c>
      <c r="Y652" s="120">
        <v>-9999</v>
      </c>
      <c r="Z652" s="120">
        <v>-9999</v>
      </c>
      <c r="AA652" s="120">
        <v>68</v>
      </c>
      <c r="AB652" s="120">
        <v>14.5</v>
      </c>
      <c r="AC652" s="120">
        <v>651</v>
      </c>
      <c r="AD652" s="120">
        <v>1923</v>
      </c>
      <c r="AE652" s="120">
        <v>-9999</v>
      </c>
      <c r="AF652" s="120">
        <v>-9999</v>
      </c>
      <c r="AG652" s="120">
        <v>-9999</v>
      </c>
    </row>
    <row r="653" spans="1:33" x14ac:dyDescent="0.25">
      <c r="A653" s="120">
        <v>652</v>
      </c>
      <c r="B653" s="120" t="b">
        <v>0</v>
      </c>
      <c r="C653" s="120">
        <v>0</v>
      </c>
      <c r="D653" s="61">
        <v>2</v>
      </c>
      <c r="E653" s="120">
        <v>1</v>
      </c>
      <c r="F653" s="120" t="s">
        <v>177</v>
      </c>
      <c r="G653" s="55">
        <v>125</v>
      </c>
      <c r="H653" s="120">
        <v>691</v>
      </c>
      <c r="I653" s="57">
        <v>100</v>
      </c>
      <c r="J653" s="120">
        <v>100</v>
      </c>
      <c r="K653" s="120">
        <v>2</v>
      </c>
      <c r="L653" s="120">
        <v>50</v>
      </c>
      <c r="M653" s="120">
        <v>15</v>
      </c>
      <c r="N653" s="120">
        <v>40</v>
      </c>
      <c r="O653" s="120">
        <v>2</v>
      </c>
      <c r="P653" s="120">
        <v>20</v>
      </c>
      <c r="Q653" s="120">
        <v>137.5</v>
      </c>
      <c r="R653" s="120">
        <v>111</v>
      </c>
      <c r="S653" s="148">
        <v>16.100000381469702</v>
      </c>
      <c r="T653" s="120">
        <v>65</v>
      </c>
      <c r="U653" s="120">
        <v>20</v>
      </c>
      <c r="V653" s="120">
        <v>-9999</v>
      </c>
      <c r="W653" s="120">
        <v>-9999</v>
      </c>
      <c r="X653" s="120">
        <v>-9999</v>
      </c>
      <c r="Y653" s="120">
        <v>-9999</v>
      </c>
      <c r="Z653" s="120">
        <v>-9999</v>
      </c>
      <c r="AA653" s="120">
        <v>68</v>
      </c>
      <c r="AB653" s="120">
        <v>14.5</v>
      </c>
      <c r="AC653" s="120">
        <v>652</v>
      </c>
      <c r="AD653" s="120">
        <v>1924</v>
      </c>
      <c r="AE653" s="120">
        <v>-9999</v>
      </c>
      <c r="AF653" s="120">
        <v>-9999</v>
      </c>
      <c r="AG653" s="120">
        <v>-9999</v>
      </c>
    </row>
    <row r="654" spans="1:33" x14ac:dyDescent="0.25">
      <c r="A654" s="120">
        <v>653</v>
      </c>
      <c r="B654" s="120" t="b">
        <v>0</v>
      </c>
      <c r="C654" s="120">
        <v>0</v>
      </c>
      <c r="D654" s="61">
        <v>2</v>
      </c>
      <c r="E654" s="120">
        <v>1</v>
      </c>
      <c r="F654" s="120" t="s">
        <v>177</v>
      </c>
      <c r="G654" s="55">
        <v>125</v>
      </c>
      <c r="H654" s="120">
        <v>691</v>
      </c>
      <c r="I654" s="57">
        <v>100</v>
      </c>
      <c r="J654" s="120">
        <v>100</v>
      </c>
      <c r="K654" s="120">
        <v>3</v>
      </c>
      <c r="L654" s="120">
        <v>40</v>
      </c>
      <c r="M654" s="120">
        <v>15</v>
      </c>
      <c r="N654" s="120">
        <v>40</v>
      </c>
      <c r="O654" s="120">
        <v>2</v>
      </c>
      <c r="P654" s="120">
        <v>16.666999816894499</v>
      </c>
      <c r="Q654" s="120">
        <v>137.5</v>
      </c>
      <c r="R654" s="120">
        <v>111</v>
      </c>
      <c r="S654" s="148">
        <v>16.100000381469702</v>
      </c>
      <c r="T654" s="120">
        <v>57</v>
      </c>
      <c r="U654" s="120">
        <v>20</v>
      </c>
      <c r="V654" s="120">
        <v>-9999</v>
      </c>
      <c r="W654" s="120">
        <v>-9999</v>
      </c>
      <c r="X654" s="120">
        <v>-9999</v>
      </c>
      <c r="Y654" s="120">
        <v>-9999</v>
      </c>
      <c r="Z654" s="120">
        <v>-9999</v>
      </c>
      <c r="AA654" s="120">
        <v>68</v>
      </c>
      <c r="AB654" s="120">
        <v>14.5</v>
      </c>
      <c r="AC654" s="120">
        <v>653</v>
      </c>
      <c r="AD654" s="120">
        <v>1925</v>
      </c>
      <c r="AE654" s="120">
        <v>-9999</v>
      </c>
      <c r="AF654" s="120">
        <v>-9999</v>
      </c>
      <c r="AG654" s="120">
        <v>-9999</v>
      </c>
    </row>
    <row r="655" spans="1:33" x14ac:dyDescent="0.25">
      <c r="A655" s="120">
        <v>654</v>
      </c>
      <c r="B655" s="120" t="b">
        <v>0</v>
      </c>
      <c r="C655" s="120">
        <v>0</v>
      </c>
      <c r="D655" s="61">
        <v>2</v>
      </c>
      <c r="E655" s="120">
        <v>1</v>
      </c>
      <c r="F655" s="120" t="s">
        <v>177</v>
      </c>
      <c r="G655" s="55">
        <v>125</v>
      </c>
      <c r="H655" s="120">
        <v>659</v>
      </c>
      <c r="I655" s="57">
        <v>100</v>
      </c>
      <c r="J655" s="120">
        <v>110</v>
      </c>
      <c r="K655" s="120">
        <v>4</v>
      </c>
      <c r="L655" s="120">
        <v>100</v>
      </c>
      <c r="M655" s="120">
        <v>15</v>
      </c>
      <c r="N655" s="120">
        <v>40</v>
      </c>
      <c r="O655" s="120">
        <v>2</v>
      </c>
      <c r="P655" s="120">
        <v>-9999</v>
      </c>
      <c r="Q655" s="120">
        <v>131.30000305175801</v>
      </c>
      <c r="R655" s="120">
        <v>106</v>
      </c>
      <c r="S655" s="148">
        <v>16.100000381469702</v>
      </c>
      <c r="T655" s="120">
        <v>-9999</v>
      </c>
      <c r="U655" s="120">
        <v>20</v>
      </c>
      <c r="V655" s="120">
        <v>-9999</v>
      </c>
      <c r="W655" s="120">
        <v>-9999</v>
      </c>
      <c r="X655" s="120">
        <v>-9999</v>
      </c>
      <c r="Y655" s="120">
        <v>-9999</v>
      </c>
      <c r="Z655" s="120">
        <v>-9999</v>
      </c>
      <c r="AA655" s="120">
        <v>68</v>
      </c>
      <c r="AB655" s="120">
        <v>14.5</v>
      </c>
      <c r="AC655" s="120">
        <v>654</v>
      </c>
      <c r="AD655" s="120">
        <v>1926</v>
      </c>
      <c r="AE655" s="120">
        <v>-9999</v>
      </c>
      <c r="AF655" s="120">
        <v>-9999</v>
      </c>
      <c r="AG655" s="120">
        <v>-9999</v>
      </c>
    </row>
    <row r="656" spans="1:33" x14ac:dyDescent="0.25">
      <c r="A656" s="120">
        <v>655</v>
      </c>
      <c r="B656" s="120" t="b">
        <v>0</v>
      </c>
      <c r="C656" s="120">
        <v>0</v>
      </c>
      <c r="D656" s="61">
        <v>2</v>
      </c>
      <c r="E656" s="120">
        <v>1</v>
      </c>
      <c r="F656" s="120" t="s">
        <v>177</v>
      </c>
      <c r="G656" s="55">
        <v>125</v>
      </c>
      <c r="H656" s="120">
        <v>659</v>
      </c>
      <c r="I656" s="57">
        <v>100</v>
      </c>
      <c r="J656" s="120">
        <v>110</v>
      </c>
      <c r="K656" s="120">
        <v>11</v>
      </c>
      <c r="L656" s="120">
        <v>60</v>
      </c>
      <c r="M656" s="120">
        <v>15</v>
      </c>
      <c r="N656" s="120">
        <v>40</v>
      </c>
      <c r="O656" s="120">
        <v>2</v>
      </c>
      <c r="P656" s="120">
        <v>25</v>
      </c>
      <c r="Q656" s="120">
        <v>131.30000305175801</v>
      </c>
      <c r="R656" s="120">
        <v>106</v>
      </c>
      <c r="S656" s="148">
        <v>16.100000381469702</v>
      </c>
      <c r="T656" s="120">
        <v>70</v>
      </c>
      <c r="U656" s="120">
        <v>20</v>
      </c>
      <c r="V656" s="120">
        <v>-9999</v>
      </c>
      <c r="W656" s="120">
        <v>-9999</v>
      </c>
      <c r="X656" s="120">
        <v>-9999</v>
      </c>
      <c r="Y656" s="120">
        <v>-9999</v>
      </c>
      <c r="Z656" s="120">
        <v>-9999</v>
      </c>
      <c r="AA656" s="120">
        <v>68</v>
      </c>
      <c r="AB656" s="120">
        <v>14.5</v>
      </c>
      <c r="AC656" s="120">
        <v>655</v>
      </c>
      <c r="AD656" s="120">
        <v>1927</v>
      </c>
      <c r="AE656" s="120">
        <v>-9999</v>
      </c>
      <c r="AF656" s="120">
        <v>-9999</v>
      </c>
      <c r="AG656" s="120">
        <v>-9999</v>
      </c>
    </row>
    <row r="657" spans="1:33" x14ac:dyDescent="0.25">
      <c r="A657" s="120">
        <v>656</v>
      </c>
      <c r="B657" s="120" t="b">
        <v>0</v>
      </c>
      <c r="C657" s="120">
        <v>0</v>
      </c>
      <c r="D657" s="61">
        <v>2</v>
      </c>
      <c r="E657" s="120">
        <v>1</v>
      </c>
      <c r="F657" s="120" t="s">
        <v>177</v>
      </c>
      <c r="G657" s="55">
        <v>125</v>
      </c>
      <c r="H657" s="120">
        <v>608</v>
      </c>
      <c r="I657" s="57">
        <v>115</v>
      </c>
      <c r="J657" s="120">
        <v>125</v>
      </c>
      <c r="K657" s="120">
        <v>1</v>
      </c>
      <c r="L657" s="120">
        <v>50</v>
      </c>
      <c r="M657" s="120">
        <v>15</v>
      </c>
      <c r="N657" s="120">
        <v>40</v>
      </c>
      <c r="O657" s="120">
        <v>2</v>
      </c>
      <c r="P657" s="120">
        <v>5</v>
      </c>
      <c r="Q657" s="120">
        <v>131.30000305175801</v>
      </c>
      <c r="R657" s="120">
        <v>106</v>
      </c>
      <c r="S657" s="148">
        <v>17.399999618530298</v>
      </c>
      <c r="T657" s="120">
        <v>65</v>
      </c>
      <c r="U657" s="120">
        <v>20</v>
      </c>
      <c r="V657" s="120">
        <v>-9999</v>
      </c>
      <c r="W657" s="120">
        <v>-9999</v>
      </c>
      <c r="X657" s="120">
        <v>-9999</v>
      </c>
      <c r="Y657" s="120">
        <v>-9999</v>
      </c>
      <c r="Z657" s="120">
        <v>-9999</v>
      </c>
      <c r="AA657" s="120">
        <v>68</v>
      </c>
      <c r="AB657" s="120">
        <v>14.5</v>
      </c>
      <c r="AC657" s="120">
        <v>656</v>
      </c>
      <c r="AD657" s="120">
        <v>1928</v>
      </c>
      <c r="AE657" s="120">
        <v>-9999</v>
      </c>
      <c r="AF657" s="120">
        <v>-9999</v>
      </c>
      <c r="AG657" s="120">
        <v>-9999</v>
      </c>
    </row>
    <row r="658" spans="1:33" x14ac:dyDescent="0.25">
      <c r="A658" s="120">
        <v>657</v>
      </c>
      <c r="B658" s="120" t="b">
        <v>0</v>
      </c>
      <c r="C658" s="120">
        <v>0</v>
      </c>
      <c r="D658" s="61">
        <v>2</v>
      </c>
      <c r="E658" s="120">
        <v>1</v>
      </c>
      <c r="F658" s="120" t="s">
        <v>177</v>
      </c>
      <c r="G658" s="55">
        <v>125</v>
      </c>
      <c r="H658" s="120">
        <v>637</v>
      </c>
      <c r="I658" s="57">
        <v>115</v>
      </c>
      <c r="J658" s="120">
        <v>115</v>
      </c>
      <c r="K658" s="120">
        <v>2</v>
      </c>
      <c r="L658" s="120">
        <v>50</v>
      </c>
      <c r="M658" s="120">
        <v>15</v>
      </c>
      <c r="N658" s="120">
        <v>40</v>
      </c>
      <c r="O658" s="120">
        <v>2</v>
      </c>
      <c r="P658" s="120">
        <v>20</v>
      </c>
      <c r="Q658" s="120">
        <v>137.5</v>
      </c>
      <c r="R658" s="120">
        <v>111</v>
      </c>
      <c r="S658" s="148">
        <v>17.399999618530298</v>
      </c>
      <c r="T658" s="120">
        <v>65</v>
      </c>
      <c r="U658" s="120">
        <v>20</v>
      </c>
      <c r="V658" s="120">
        <v>-9999</v>
      </c>
      <c r="W658" s="120">
        <v>-9999</v>
      </c>
      <c r="X658" s="120">
        <v>-9999</v>
      </c>
      <c r="Y658" s="120">
        <v>-9999</v>
      </c>
      <c r="Z658" s="120">
        <v>-9999</v>
      </c>
      <c r="AA658" s="120">
        <v>68</v>
      </c>
      <c r="AB658" s="120">
        <v>14.5</v>
      </c>
      <c r="AC658" s="120">
        <v>657</v>
      </c>
      <c r="AD658" s="120">
        <v>1929</v>
      </c>
      <c r="AE658" s="120">
        <v>-9999</v>
      </c>
      <c r="AF658" s="120">
        <v>-9999</v>
      </c>
      <c r="AG658" s="120">
        <v>-9999</v>
      </c>
    </row>
    <row r="659" spans="1:33" x14ac:dyDescent="0.25">
      <c r="A659" s="120">
        <v>658</v>
      </c>
      <c r="B659" s="120" t="b">
        <v>0</v>
      </c>
      <c r="C659" s="120">
        <v>0</v>
      </c>
      <c r="D659" s="61">
        <v>2</v>
      </c>
      <c r="E659" s="120">
        <v>1</v>
      </c>
      <c r="F659" s="120" t="s">
        <v>177</v>
      </c>
      <c r="G659" s="55">
        <v>125</v>
      </c>
      <c r="H659" s="120">
        <v>637</v>
      </c>
      <c r="I659" s="57">
        <v>115</v>
      </c>
      <c r="J659" s="120">
        <v>115</v>
      </c>
      <c r="K659" s="120">
        <v>3</v>
      </c>
      <c r="L659" s="120">
        <v>40</v>
      </c>
      <c r="M659" s="120">
        <v>15</v>
      </c>
      <c r="N659" s="120">
        <v>40</v>
      </c>
      <c r="O659" s="120">
        <v>2</v>
      </c>
      <c r="P659" s="120">
        <v>16.666999816894499</v>
      </c>
      <c r="Q659" s="120">
        <v>137.5</v>
      </c>
      <c r="R659" s="120">
        <v>111</v>
      </c>
      <c r="S659" s="148">
        <v>17.399999618530298</v>
      </c>
      <c r="T659" s="120">
        <v>57</v>
      </c>
      <c r="U659" s="120">
        <v>20</v>
      </c>
      <c r="V659" s="120">
        <v>-9999</v>
      </c>
      <c r="W659" s="120">
        <v>-9999</v>
      </c>
      <c r="X659" s="120">
        <v>-9999</v>
      </c>
      <c r="Y659" s="120">
        <v>-9999</v>
      </c>
      <c r="Z659" s="120">
        <v>-9999</v>
      </c>
      <c r="AA659" s="120">
        <v>68</v>
      </c>
      <c r="AB659" s="120">
        <v>14.5</v>
      </c>
      <c r="AC659" s="120">
        <v>658</v>
      </c>
      <c r="AD659" s="120">
        <v>1930</v>
      </c>
      <c r="AE659" s="120">
        <v>-9999</v>
      </c>
      <c r="AF659" s="120">
        <v>-9999</v>
      </c>
      <c r="AG659" s="120">
        <v>-9999</v>
      </c>
    </row>
    <row r="660" spans="1:33" x14ac:dyDescent="0.25">
      <c r="A660" s="120">
        <v>659</v>
      </c>
      <c r="B660" s="120" t="b">
        <v>0</v>
      </c>
      <c r="C660" s="120">
        <v>0</v>
      </c>
      <c r="D660" s="61">
        <v>2</v>
      </c>
      <c r="E660" s="120">
        <v>1</v>
      </c>
      <c r="F660" s="120" t="s">
        <v>177</v>
      </c>
      <c r="G660" s="55">
        <v>125</v>
      </c>
      <c r="H660" s="120">
        <v>608</v>
      </c>
      <c r="I660" s="57">
        <v>115</v>
      </c>
      <c r="J660" s="120">
        <v>125</v>
      </c>
      <c r="K660" s="120">
        <v>4</v>
      </c>
      <c r="L660" s="120">
        <v>100</v>
      </c>
      <c r="M660" s="120">
        <v>15</v>
      </c>
      <c r="N660" s="120">
        <v>40</v>
      </c>
      <c r="O660" s="120">
        <v>2</v>
      </c>
      <c r="P660" s="120">
        <v>-9999</v>
      </c>
      <c r="Q660" s="120">
        <v>131.30000305175801</v>
      </c>
      <c r="R660" s="120">
        <v>106</v>
      </c>
      <c r="S660" s="148">
        <v>17.399999618530298</v>
      </c>
      <c r="T660" s="120">
        <v>-9999</v>
      </c>
      <c r="U660" s="120">
        <v>20</v>
      </c>
      <c r="V660" s="120">
        <v>-9999</v>
      </c>
      <c r="W660" s="120">
        <v>-9999</v>
      </c>
      <c r="X660" s="120">
        <v>-9999</v>
      </c>
      <c r="Y660" s="120">
        <v>-9999</v>
      </c>
      <c r="Z660" s="120">
        <v>-9999</v>
      </c>
      <c r="AA660" s="120">
        <v>68</v>
      </c>
      <c r="AB660" s="120">
        <v>14.5</v>
      </c>
      <c r="AC660" s="120">
        <v>659</v>
      </c>
      <c r="AD660" s="120">
        <v>1931</v>
      </c>
      <c r="AE660" s="120">
        <v>-9999</v>
      </c>
      <c r="AF660" s="120">
        <v>-9999</v>
      </c>
      <c r="AG660" s="120">
        <v>-9999</v>
      </c>
    </row>
    <row r="661" spans="1:33" x14ac:dyDescent="0.25">
      <c r="A661" s="120">
        <v>660</v>
      </c>
      <c r="B661" s="120" t="b">
        <v>0</v>
      </c>
      <c r="C661" s="120">
        <v>0</v>
      </c>
      <c r="D661" s="61">
        <v>2</v>
      </c>
      <c r="E661" s="120">
        <v>1</v>
      </c>
      <c r="F661" s="120" t="s">
        <v>177</v>
      </c>
      <c r="G661" s="55">
        <v>125</v>
      </c>
      <c r="H661" s="120">
        <v>608</v>
      </c>
      <c r="I661" s="57">
        <v>115</v>
      </c>
      <c r="J661" s="120">
        <v>125</v>
      </c>
      <c r="K661" s="120">
        <v>11</v>
      </c>
      <c r="L661" s="120">
        <v>60</v>
      </c>
      <c r="M661" s="120">
        <v>15</v>
      </c>
      <c r="N661" s="120">
        <v>40</v>
      </c>
      <c r="O661" s="120">
        <v>2</v>
      </c>
      <c r="P661" s="120">
        <v>25</v>
      </c>
      <c r="Q661" s="120">
        <v>131.30000305175801</v>
      </c>
      <c r="R661" s="120">
        <v>106</v>
      </c>
      <c r="S661" s="148">
        <v>17.399999618530298</v>
      </c>
      <c r="T661" s="120">
        <v>70</v>
      </c>
      <c r="U661" s="120">
        <v>20</v>
      </c>
      <c r="V661" s="120">
        <v>-9999</v>
      </c>
      <c r="W661" s="120">
        <v>-9999</v>
      </c>
      <c r="X661" s="120">
        <v>-9999</v>
      </c>
      <c r="Y661" s="120">
        <v>-9999</v>
      </c>
      <c r="Z661" s="120">
        <v>-9999</v>
      </c>
      <c r="AA661" s="120">
        <v>68</v>
      </c>
      <c r="AB661" s="120">
        <v>14.5</v>
      </c>
      <c r="AC661" s="120">
        <v>660</v>
      </c>
      <c r="AD661" s="120">
        <v>1932</v>
      </c>
      <c r="AE661" s="120">
        <v>-9999</v>
      </c>
      <c r="AF661" s="120">
        <v>-9999</v>
      </c>
      <c r="AG661" s="120">
        <v>-9999</v>
      </c>
    </row>
    <row r="662" spans="1:33" x14ac:dyDescent="0.25">
      <c r="A662" s="120">
        <v>661</v>
      </c>
      <c r="B662" s="120" t="b">
        <v>0</v>
      </c>
      <c r="C662" s="120">
        <v>0</v>
      </c>
      <c r="D662" s="61">
        <v>2</v>
      </c>
      <c r="E662" s="120">
        <v>1</v>
      </c>
      <c r="F662" s="120" t="s">
        <v>177</v>
      </c>
      <c r="G662" s="55">
        <v>125</v>
      </c>
      <c r="H662" s="120">
        <v>593</v>
      </c>
      <c r="I662" s="57">
        <v>125</v>
      </c>
      <c r="J662" s="120">
        <v>135</v>
      </c>
      <c r="K662" s="120">
        <v>1</v>
      </c>
      <c r="L662" s="120">
        <v>50</v>
      </c>
      <c r="M662" s="120">
        <v>15</v>
      </c>
      <c r="N662" s="120">
        <v>40</v>
      </c>
      <c r="O662" s="120">
        <v>2</v>
      </c>
      <c r="P662" s="120">
        <v>5</v>
      </c>
      <c r="Q662" s="120">
        <v>131.30000305175801</v>
      </c>
      <c r="R662" s="120">
        <v>106</v>
      </c>
      <c r="S662" s="148">
        <v>17.899999618530298</v>
      </c>
      <c r="T662" s="120">
        <v>65</v>
      </c>
      <c r="U662" s="120">
        <v>20</v>
      </c>
      <c r="V662" s="120">
        <v>-9999</v>
      </c>
      <c r="W662" s="120">
        <v>-9999</v>
      </c>
      <c r="X662" s="120">
        <v>-9999</v>
      </c>
      <c r="Y662" s="120">
        <v>-9999</v>
      </c>
      <c r="Z662" s="120">
        <v>-9999</v>
      </c>
      <c r="AA662" s="120">
        <v>68</v>
      </c>
      <c r="AB662" s="120">
        <v>14.5</v>
      </c>
      <c r="AC662" s="120">
        <v>661</v>
      </c>
      <c r="AD662" s="120">
        <v>1933</v>
      </c>
      <c r="AE662" s="120">
        <v>-9999</v>
      </c>
      <c r="AF662" s="120">
        <v>-9999</v>
      </c>
      <c r="AG662" s="120">
        <v>-9999</v>
      </c>
    </row>
    <row r="663" spans="1:33" x14ac:dyDescent="0.25">
      <c r="A663" s="120">
        <v>662</v>
      </c>
      <c r="B663" s="120" t="b">
        <v>0</v>
      </c>
      <c r="C663" s="120">
        <v>0</v>
      </c>
      <c r="D663" s="61">
        <v>2</v>
      </c>
      <c r="E663" s="120">
        <v>1</v>
      </c>
      <c r="F663" s="120" t="s">
        <v>177</v>
      </c>
      <c r="G663" s="55">
        <v>125</v>
      </c>
      <c r="H663" s="120">
        <v>621</v>
      </c>
      <c r="I663" s="57">
        <v>125</v>
      </c>
      <c r="J663" s="120">
        <v>125</v>
      </c>
      <c r="K663" s="120">
        <v>2</v>
      </c>
      <c r="L663" s="120">
        <v>50</v>
      </c>
      <c r="M663" s="120">
        <v>15</v>
      </c>
      <c r="N663" s="120">
        <v>40</v>
      </c>
      <c r="O663" s="120">
        <v>2</v>
      </c>
      <c r="P663" s="120">
        <v>20</v>
      </c>
      <c r="Q663" s="120">
        <v>137.5</v>
      </c>
      <c r="R663" s="120">
        <v>111</v>
      </c>
      <c r="S663" s="148">
        <v>17.899999618530298</v>
      </c>
      <c r="T663" s="120">
        <v>65</v>
      </c>
      <c r="U663" s="120">
        <v>20</v>
      </c>
      <c r="V663" s="120">
        <v>-9999</v>
      </c>
      <c r="W663" s="120">
        <v>-9999</v>
      </c>
      <c r="X663" s="120">
        <v>-9999</v>
      </c>
      <c r="Y663" s="120">
        <v>-9999</v>
      </c>
      <c r="Z663" s="120">
        <v>-9999</v>
      </c>
      <c r="AA663" s="120">
        <v>68</v>
      </c>
      <c r="AB663" s="120">
        <v>14.5</v>
      </c>
      <c r="AC663" s="120">
        <v>662</v>
      </c>
      <c r="AD663" s="120">
        <v>1934</v>
      </c>
      <c r="AE663" s="120">
        <v>-9999</v>
      </c>
      <c r="AF663" s="120">
        <v>-9999</v>
      </c>
      <c r="AG663" s="120">
        <v>-9999</v>
      </c>
    </row>
    <row r="664" spans="1:33" x14ac:dyDescent="0.25">
      <c r="A664" s="120">
        <v>663</v>
      </c>
      <c r="B664" s="120" t="b">
        <v>0</v>
      </c>
      <c r="C664" s="120">
        <v>0</v>
      </c>
      <c r="D664" s="61">
        <v>2</v>
      </c>
      <c r="E664" s="120">
        <v>1</v>
      </c>
      <c r="F664" s="120" t="s">
        <v>177</v>
      </c>
      <c r="G664" s="55">
        <v>125</v>
      </c>
      <c r="H664" s="120">
        <v>621</v>
      </c>
      <c r="I664" s="57">
        <v>125</v>
      </c>
      <c r="J664" s="120">
        <v>125</v>
      </c>
      <c r="K664" s="120">
        <v>3</v>
      </c>
      <c r="L664" s="120">
        <v>40</v>
      </c>
      <c r="M664" s="120">
        <v>15</v>
      </c>
      <c r="N664" s="120">
        <v>40</v>
      </c>
      <c r="O664" s="120">
        <v>2</v>
      </c>
      <c r="P664" s="120">
        <v>16.666999816894499</v>
      </c>
      <c r="Q664" s="120">
        <v>137.5</v>
      </c>
      <c r="R664" s="120">
        <v>111</v>
      </c>
      <c r="S664" s="148">
        <v>17.899999618530298</v>
      </c>
      <c r="T664" s="120">
        <v>57</v>
      </c>
      <c r="U664" s="120">
        <v>20</v>
      </c>
      <c r="V664" s="120">
        <v>-9999</v>
      </c>
      <c r="W664" s="120">
        <v>-9999</v>
      </c>
      <c r="X664" s="120">
        <v>-9999</v>
      </c>
      <c r="Y664" s="120">
        <v>-9999</v>
      </c>
      <c r="Z664" s="120">
        <v>-9999</v>
      </c>
      <c r="AA664" s="120">
        <v>68</v>
      </c>
      <c r="AB664" s="120">
        <v>14.5</v>
      </c>
      <c r="AC664" s="120">
        <v>663</v>
      </c>
      <c r="AD664" s="120">
        <v>1935</v>
      </c>
      <c r="AE664" s="120">
        <v>-9999</v>
      </c>
      <c r="AF664" s="120">
        <v>-9999</v>
      </c>
      <c r="AG664" s="120">
        <v>-9999</v>
      </c>
    </row>
    <row r="665" spans="1:33" x14ac:dyDescent="0.25">
      <c r="A665" s="120">
        <v>664</v>
      </c>
      <c r="B665" s="120" t="b">
        <v>0</v>
      </c>
      <c r="C665" s="120">
        <v>0</v>
      </c>
      <c r="D665" s="61">
        <v>2</v>
      </c>
      <c r="E665" s="120">
        <v>1</v>
      </c>
      <c r="F665" s="120" t="s">
        <v>177</v>
      </c>
      <c r="G665" s="55">
        <v>125</v>
      </c>
      <c r="H665" s="120">
        <v>593</v>
      </c>
      <c r="I665" s="57">
        <v>125</v>
      </c>
      <c r="J665" s="120">
        <v>135</v>
      </c>
      <c r="K665" s="120">
        <v>4</v>
      </c>
      <c r="L665" s="120">
        <v>100</v>
      </c>
      <c r="M665" s="120">
        <v>15</v>
      </c>
      <c r="N665" s="120">
        <v>40</v>
      </c>
      <c r="O665" s="120">
        <v>2</v>
      </c>
      <c r="P665" s="120">
        <v>-9999</v>
      </c>
      <c r="Q665" s="120">
        <v>131.30000305175801</v>
      </c>
      <c r="R665" s="120">
        <v>106</v>
      </c>
      <c r="S665" s="148">
        <v>17.899999618530298</v>
      </c>
      <c r="T665" s="120">
        <v>-9999</v>
      </c>
      <c r="U665" s="120">
        <v>20</v>
      </c>
      <c r="V665" s="120">
        <v>-9999</v>
      </c>
      <c r="W665" s="120">
        <v>-9999</v>
      </c>
      <c r="X665" s="120">
        <v>-9999</v>
      </c>
      <c r="Y665" s="120">
        <v>-9999</v>
      </c>
      <c r="Z665" s="120">
        <v>-9999</v>
      </c>
      <c r="AA665" s="120">
        <v>68</v>
      </c>
      <c r="AB665" s="120">
        <v>14.5</v>
      </c>
      <c r="AC665" s="120">
        <v>664</v>
      </c>
      <c r="AD665" s="120">
        <v>1936</v>
      </c>
      <c r="AE665" s="120">
        <v>-9999</v>
      </c>
      <c r="AF665" s="120">
        <v>-9999</v>
      </c>
      <c r="AG665" s="120">
        <v>-9999</v>
      </c>
    </row>
    <row r="666" spans="1:33" x14ac:dyDescent="0.25">
      <c r="A666" s="120">
        <v>665</v>
      </c>
      <c r="B666" s="120" t="b">
        <v>0</v>
      </c>
      <c r="C666" s="120">
        <v>0</v>
      </c>
      <c r="D666" s="61">
        <v>2</v>
      </c>
      <c r="E666" s="120">
        <v>1</v>
      </c>
      <c r="F666" s="120" t="s">
        <v>177</v>
      </c>
      <c r="G666" s="55">
        <v>125</v>
      </c>
      <c r="H666" s="120">
        <v>593</v>
      </c>
      <c r="I666" s="57">
        <v>125</v>
      </c>
      <c r="J666" s="120">
        <v>135</v>
      </c>
      <c r="K666" s="120">
        <v>11</v>
      </c>
      <c r="L666" s="120">
        <v>60</v>
      </c>
      <c r="M666" s="120">
        <v>15</v>
      </c>
      <c r="N666" s="120">
        <v>40</v>
      </c>
      <c r="O666" s="120">
        <v>2</v>
      </c>
      <c r="P666" s="120">
        <v>25</v>
      </c>
      <c r="Q666" s="120">
        <v>131.30000305175801</v>
      </c>
      <c r="R666" s="120">
        <v>106</v>
      </c>
      <c r="S666" s="148">
        <v>17.899999618530298</v>
      </c>
      <c r="T666" s="120">
        <v>70</v>
      </c>
      <c r="U666" s="120">
        <v>20</v>
      </c>
      <c r="V666" s="120">
        <v>-9999</v>
      </c>
      <c r="W666" s="120">
        <v>-9999</v>
      </c>
      <c r="X666" s="120">
        <v>-9999</v>
      </c>
      <c r="Y666" s="120">
        <v>-9999</v>
      </c>
      <c r="Z666" s="120">
        <v>-9999</v>
      </c>
      <c r="AA666" s="120">
        <v>68</v>
      </c>
      <c r="AB666" s="120">
        <v>14.5</v>
      </c>
      <c r="AC666" s="120">
        <v>665</v>
      </c>
      <c r="AD666" s="120">
        <v>1937</v>
      </c>
      <c r="AE666" s="120">
        <v>-9999</v>
      </c>
      <c r="AF666" s="120">
        <v>-9999</v>
      </c>
      <c r="AG666" s="120">
        <v>-9999</v>
      </c>
    </row>
    <row r="667" spans="1:33" x14ac:dyDescent="0.25">
      <c r="A667" s="120">
        <v>666</v>
      </c>
      <c r="B667" s="120" t="b">
        <v>0</v>
      </c>
      <c r="C667" s="120">
        <v>0</v>
      </c>
      <c r="D667" s="61">
        <v>2</v>
      </c>
      <c r="E667" s="120">
        <v>1</v>
      </c>
      <c r="F667" s="120" t="s">
        <v>177</v>
      </c>
      <c r="G667" s="55">
        <v>125</v>
      </c>
      <c r="H667" s="120">
        <v>554</v>
      </c>
      <c r="I667" s="57">
        <v>140</v>
      </c>
      <c r="J667" s="120">
        <v>150</v>
      </c>
      <c r="K667" s="120">
        <v>1</v>
      </c>
      <c r="L667" s="120">
        <v>50</v>
      </c>
      <c r="M667" s="120">
        <v>15</v>
      </c>
      <c r="N667" s="120">
        <v>40</v>
      </c>
      <c r="O667" s="120">
        <v>2</v>
      </c>
      <c r="P667" s="120">
        <v>5</v>
      </c>
      <c r="Q667" s="120">
        <v>131.30000305175801</v>
      </c>
      <c r="R667" s="120">
        <v>106</v>
      </c>
      <c r="S667" s="148">
        <v>19.100000381469702</v>
      </c>
      <c r="T667" s="120">
        <v>65</v>
      </c>
      <c r="U667" s="120">
        <v>20</v>
      </c>
      <c r="V667" s="120">
        <v>-9999</v>
      </c>
      <c r="W667" s="120">
        <v>-9999</v>
      </c>
      <c r="X667" s="120">
        <v>-9999</v>
      </c>
      <c r="Y667" s="120">
        <v>-9999</v>
      </c>
      <c r="Z667" s="120">
        <v>-9999</v>
      </c>
      <c r="AA667" s="120">
        <v>68</v>
      </c>
      <c r="AB667" s="120">
        <v>14.5</v>
      </c>
      <c r="AC667" s="120">
        <v>666</v>
      </c>
      <c r="AD667" s="120">
        <v>1938</v>
      </c>
      <c r="AE667" s="120">
        <v>-9999</v>
      </c>
      <c r="AF667" s="120">
        <v>-9999</v>
      </c>
      <c r="AG667" s="120">
        <v>-9999</v>
      </c>
    </row>
    <row r="668" spans="1:33" x14ac:dyDescent="0.25">
      <c r="A668" s="120">
        <v>667</v>
      </c>
      <c r="B668" s="120" t="b">
        <v>0</v>
      </c>
      <c r="C668" s="120">
        <v>0</v>
      </c>
      <c r="D668" s="61">
        <v>2</v>
      </c>
      <c r="E668" s="120">
        <v>1</v>
      </c>
      <c r="F668" s="120" t="s">
        <v>177</v>
      </c>
      <c r="G668" s="55">
        <v>125</v>
      </c>
      <c r="H668" s="120">
        <v>580</v>
      </c>
      <c r="I668" s="57">
        <v>140</v>
      </c>
      <c r="J668" s="120">
        <v>140</v>
      </c>
      <c r="K668" s="120">
        <v>2</v>
      </c>
      <c r="L668" s="120">
        <v>50</v>
      </c>
      <c r="M668" s="120">
        <v>15</v>
      </c>
      <c r="N668" s="120">
        <v>40</v>
      </c>
      <c r="O668" s="120">
        <v>2</v>
      </c>
      <c r="P668" s="120">
        <v>20</v>
      </c>
      <c r="Q668" s="120">
        <v>137.5</v>
      </c>
      <c r="R668" s="120">
        <v>111</v>
      </c>
      <c r="S668" s="148">
        <v>19.100000381469702</v>
      </c>
      <c r="T668" s="120">
        <v>65</v>
      </c>
      <c r="U668" s="120">
        <v>20</v>
      </c>
      <c r="V668" s="120">
        <v>-9999</v>
      </c>
      <c r="W668" s="120">
        <v>-9999</v>
      </c>
      <c r="X668" s="120">
        <v>-9999</v>
      </c>
      <c r="Y668" s="120">
        <v>-9999</v>
      </c>
      <c r="Z668" s="120">
        <v>-9999</v>
      </c>
      <c r="AA668" s="120">
        <v>68</v>
      </c>
      <c r="AB668" s="120">
        <v>14.5</v>
      </c>
      <c r="AC668" s="120">
        <v>667</v>
      </c>
      <c r="AD668" s="120">
        <v>1939</v>
      </c>
      <c r="AE668" s="120">
        <v>-9999</v>
      </c>
      <c r="AF668" s="120">
        <v>-9999</v>
      </c>
      <c r="AG668" s="120">
        <v>-9999</v>
      </c>
    </row>
    <row r="669" spans="1:33" x14ac:dyDescent="0.25">
      <c r="A669" s="120">
        <v>668</v>
      </c>
      <c r="B669" s="120" t="b">
        <v>0</v>
      </c>
      <c r="C669" s="120">
        <v>0</v>
      </c>
      <c r="D669" s="61">
        <v>2</v>
      </c>
      <c r="E669" s="120">
        <v>1</v>
      </c>
      <c r="F669" s="120" t="s">
        <v>177</v>
      </c>
      <c r="G669" s="55">
        <v>125</v>
      </c>
      <c r="H669" s="120">
        <v>580</v>
      </c>
      <c r="I669" s="57">
        <v>140</v>
      </c>
      <c r="J669" s="120">
        <v>140</v>
      </c>
      <c r="K669" s="120">
        <v>3</v>
      </c>
      <c r="L669" s="120">
        <v>40</v>
      </c>
      <c r="M669" s="120">
        <v>15</v>
      </c>
      <c r="N669" s="120">
        <v>40</v>
      </c>
      <c r="O669" s="120">
        <v>2</v>
      </c>
      <c r="P669" s="120">
        <v>16.666999816894499</v>
      </c>
      <c r="Q669" s="120">
        <v>137.5</v>
      </c>
      <c r="R669" s="120">
        <v>111</v>
      </c>
      <c r="S669" s="148">
        <v>19.100000381469702</v>
      </c>
      <c r="T669" s="120">
        <v>57</v>
      </c>
      <c r="U669" s="120">
        <v>20</v>
      </c>
      <c r="V669" s="120">
        <v>-9999</v>
      </c>
      <c r="W669" s="120">
        <v>-9999</v>
      </c>
      <c r="X669" s="120">
        <v>-9999</v>
      </c>
      <c r="Y669" s="120">
        <v>-9999</v>
      </c>
      <c r="Z669" s="120">
        <v>-9999</v>
      </c>
      <c r="AA669" s="120">
        <v>68</v>
      </c>
      <c r="AB669" s="120">
        <v>14.5</v>
      </c>
      <c r="AC669" s="120">
        <v>668</v>
      </c>
      <c r="AD669" s="120">
        <v>1940</v>
      </c>
      <c r="AE669" s="120">
        <v>-9999</v>
      </c>
      <c r="AF669" s="120">
        <v>-9999</v>
      </c>
      <c r="AG669" s="120">
        <v>-9999</v>
      </c>
    </row>
    <row r="670" spans="1:33" x14ac:dyDescent="0.25">
      <c r="A670" s="120">
        <v>669</v>
      </c>
      <c r="B670" s="120" t="b">
        <v>0</v>
      </c>
      <c r="C670" s="120">
        <v>0</v>
      </c>
      <c r="D670" s="61">
        <v>2</v>
      </c>
      <c r="E670" s="120">
        <v>1</v>
      </c>
      <c r="F670" s="120" t="s">
        <v>177</v>
      </c>
      <c r="G670" s="55">
        <v>125</v>
      </c>
      <c r="H670" s="120">
        <v>554</v>
      </c>
      <c r="I670" s="57">
        <v>140</v>
      </c>
      <c r="J670" s="120">
        <v>150</v>
      </c>
      <c r="K670" s="120">
        <v>4</v>
      </c>
      <c r="L670" s="120">
        <v>100</v>
      </c>
      <c r="M670" s="120">
        <v>15</v>
      </c>
      <c r="N670" s="120">
        <v>40</v>
      </c>
      <c r="O670" s="120">
        <v>2</v>
      </c>
      <c r="P670" s="120">
        <v>-9999</v>
      </c>
      <c r="Q670" s="120">
        <v>131.30000305175801</v>
      </c>
      <c r="R670" s="120">
        <v>106</v>
      </c>
      <c r="S670" s="148">
        <v>19.100000381469702</v>
      </c>
      <c r="T670" s="120">
        <v>-9999</v>
      </c>
      <c r="U670" s="120">
        <v>20</v>
      </c>
      <c r="V670" s="120">
        <v>-9999</v>
      </c>
      <c r="W670" s="120">
        <v>-9999</v>
      </c>
      <c r="X670" s="120">
        <v>-9999</v>
      </c>
      <c r="Y670" s="120">
        <v>-9999</v>
      </c>
      <c r="Z670" s="120">
        <v>-9999</v>
      </c>
      <c r="AA670" s="120">
        <v>68</v>
      </c>
      <c r="AB670" s="120">
        <v>14.5</v>
      </c>
      <c r="AC670" s="120">
        <v>669</v>
      </c>
      <c r="AD670" s="120">
        <v>1941</v>
      </c>
      <c r="AE670" s="120">
        <v>-9999</v>
      </c>
      <c r="AF670" s="120">
        <v>-9999</v>
      </c>
      <c r="AG670" s="120">
        <v>-9999</v>
      </c>
    </row>
    <row r="671" spans="1:33" x14ac:dyDescent="0.25">
      <c r="A671" s="120">
        <v>670</v>
      </c>
      <c r="B671" s="120" t="b">
        <v>0</v>
      </c>
      <c r="C671" s="120">
        <v>0</v>
      </c>
      <c r="D671" s="61">
        <v>2</v>
      </c>
      <c r="E671" s="120">
        <v>1</v>
      </c>
      <c r="F671" s="120" t="s">
        <v>177</v>
      </c>
      <c r="G671" s="55">
        <v>125</v>
      </c>
      <c r="H671" s="120">
        <v>554</v>
      </c>
      <c r="I671" s="57">
        <v>140</v>
      </c>
      <c r="J671" s="120">
        <v>150</v>
      </c>
      <c r="K671" s="120">
        <v>11</v>
      </c>
      <c r="L671" s="120">
        <v>60</v>
      </c>
      <c r="M671" s="120">
        <v>15</v>
      </c>
      <c r="N671" s="120">
        <v>40</v>
      </c>
      <c r="O671" s="120">
        <v>2</v>
      </c>
      <c r="P671" s="120">
        <v>25</v>
      </c>
      <c r="Q671" s="120">
        <v>131.30000305175801</v>
      </c>
      <c r="R671" s="120">
        <v>106</v>
      </c>
      <c r="S671" s="148">
        <v>19.100000381469702</v>
      </c>
      <c r="T671" s="120">
        <v>70</v>
      </c>
      <c r="U671" s="120">
        <v>20</v>
      </c>
      <c r="V671" s="120">
        <v>-9999</v>
      </c>
      <c r="W671" s="120">
        <v>-9999</v>
      </c>
      <c r="X671" s="120">
        <v>-9999</v>
      </c>
      <c r="Y671" s="120">
        <v>-9999</v>
      </c>
      <c r="Z671" s="120">
        <v>-9999</v>
      </c>
      <c r="AA671" s="120">
        <v>68</v>
      </c>
      <c r="AB671" s="120">
        <v>14.5</v>
      </c>
      <c r="AC671" s="120">
        <v>670</v>
      </c>
      <c r="AD671" s="120">
        <v>1942</v>
      </c>
      <c r="AE671" s="120">
        <v>-9999</v>
      </c>
      <c r="AF671" s="120">
        <v>-9999</v>
      </c>
      <c r="AG671" s="120">
        <v>-9999</v>
      </c>
    </row>
    <row r="672" spans="1:33" x14ac:dyDescent="0.25">
      <c r="A672" s="120">
        <v>671</v>
      </c>
      <c r="B672" s="120" t="b">
        <v>0</v>
      </c>
      <c r="C672" s="120">
        <v>0</v>
      </c>
      <c r="D672" s="61">
        <v>2</v>
      </c>
      <c r="E672" s="120">
        <v>1</v>
      </c>
      <c r="F672" s="120" t="s">
        <v>177</v>
      </c>
      <c r="G672" s="55">
        <v>125</v>
      </c>
      <c r="H672" s="120">
        <v>395</v>
      </c>
      <c r="I672" s="57">
        <v>200</v>
      </c>
      <c r="J672" s="120">
        <v>210</v>
      </c>
      <c r="K672" s="120">
        <v>1</v>
      </c>
      <c r="L672" s="120">
        <v>50</v>
      </c>
      <c r="M672" s="120">
        <v>15</v>
      </c>
      <c r="N672" s="120">
        <v>40</v>
      </c>
      <c r="O672" s="120">
        <v>2</v>
      </c>
      <c r="P672" s="120">
        <v>5</v>
      </c>
      <c r="Q672" s="120">
        <v>131.30000305175801</v>
      </c>
      <c r="R672" s="120">
        <v>106</v>
      </c>
      <c r="S672" s="148">
        <v>26.799999237060501</v>
      </c>
      <c r="T672" s="120">
        <v>65</v>
      </c>
      <c r="U672" s="120">
        <v>20</v>
      </c>
      <c r="V672" s="120">
        <v>-9999</v>
      </c>
      <c r="W672" s="120">
        <v>-9999</v>
      </c>
      <c r="X672" s="120">
        <v>-9999</v>
      </c>
      <c r="Y672" s="120">
        <v>-9999</v>
      </c>
      <c r="Z672" s="120">
        <v>-9999</v>
      </c>
      <c r="AA672" s="120">
        <v>68</v>
      </c>
      <c r="AB672" s="120">
        <v>14.5</v>
      </c>
      <c r="AC672" s="120">
        <v>671</v>
      </c>
      <c r="AD672" s="120">
        <v>1943</v>
      </c>
      <c r="AE672" s="120">
        <v>-9999</v>
      </c>
      <c r="AF672" s="120">
        <v>-9999</v>
      </c>
      <c r="AG672" s="120">
        <v>-9999</v>
      </c>
    </row>
    <row r="673" spans="1:33" x14ac:dyDescent="0.25">
      <c r="A673" s="120">
        <v>672</v>
      </c>
      <c r="B673" s="120" t="b">
        <v>0</v>
      </c>
      <c r="C673" s="120">
        <v>0</v>
      </c>
      <c r="D673" s="61">
        <v>2</v>
      </c>
      <c r="E673" s="120">
        <v>1</v>
      </c>
      <c r="F673" s="120" t="s">
        <v>177</v>
      </c>
      <c r="G673" s="55">
        <v>125</v>
      </c>
      <c r="H673" s="120">
        <v>414</v>
      </c>
      <c r="I673" s="57">
        <v>200</v>
      </c>
      <c r="J673" s="120">
        <v>200</v>
      </c>
      <c r="K673" s="120">
        <v>2</v>
      </c>
      <c r="L673" s="120">
        <v>50</v>
      </c>
      <c r="M673" s="120">
        <v>15</v>
      </c>
      <c r="N673" s="120">
        <v>40</v>
      </c>
      <c r="O673" s="120">
        <v>2</v>
      </c>
      <c r="P673" s="120">
        <v>20</v>
      </c>
      <c r="Q673" s="120">
        <v>137.5</v>
      </c>
      <c r="R673" s="120">
        <v>111</v>
      </c>
      <c r="S673" s="148">
        <v>26.799999237060501</v>
      </c>
      <c r="T673" s="120">
        <v>65</v>
      </c>
      <c r="U673" s="120">
        <v>20</v>
      </c>
      <c r="V673" s="120">
        <v>-9999</v>
      </c>
      <c r="W673" s="120">
        <v>-9999</v>
      </c>
      <c r="X673" s="120">
        <v>-9999</v>
      </c>
      <c r="Y673" s="120">
        <v>-9999</v>
      </c>
      <c r="Z673" s="120">
        <v>-9999</v>
      </c>
      <c r="AA673" s="120">
        <v>68</v>
      </c>
      <c r="AB673" s="120">
        <v>14.5</v>
      </c>
      <c r="AC673" s="120">
        <v>672</v>
      </c>
      <c r="AD673" s="120">
        <v>1944</v>
      </c>
      <c r="AE673" s="120">
        <v>-9999</v>
      </c>
      <c r="AF673" s="120">
        <v>-9999</v>
      </c>
      <c r="AG673" s="120">
        <v>-9999</v>
      </c>
    </row>
    <row r="674" spans="1:33" x14ac:dyDescent="0.25">
      <c r="A674" s="120">
        <v>673</v>
      </c>
      <c r="B674" s="120" t="b">
        <v>0</v>
      </c>
      <c r="C674" s="120">
        <v>0</v>
      </c>
      <c r="D674" s="61">
        <v>2</v>
      </c>
      <c r="E674" s="120">
        <v>1</v>
      </c>
      <c r="F674" s="120" t="s">
        <v>177</v>
      </c>
      <c r="G674" s="55">
        <v>125</v>
      </c>
      <c r="H674" s="120">
        <v>414</v>
      </c>
      <c r="I674" s="57">
        <v>200</v>
      </c>
      <c r="J674" s="120">
        <v>200</v>
      </c>
      <c r="K674" s="120">
        <v>3</v>
      </c>
      <c r="L674" s="120">
        <v>40</v>
      </c>
      <c r="M674" s="120">
        <v>15</v>
      </c>
      <c r="N674" s="120">
        <v>40</v>
      </c>
      <c r="O674" s="120">
        <v>2</v>
      </c>
      <c r="P674" s="120">
        <v>16.666999816894499</v>
      </c>
      <c r="Q674" s="120">
        <v>137.5</v>
      </c>
      <c r="R674" s="120">
        <v>111</v>
      </c>
      <c r="S674" s="148">
        <v>26.799999237060501</v>
      </c>
      <c r="T674" s="120">
        <v>57</v>
      </c>
      <c r="U674" s="120">
        <v>20</v>
      </c>
      <c r="V674" s="120">
        <v>-9999</v>
      </c>
      <c r="W674" s="120">
        <v>-9999</v>
      </c>
      <c r="X674" s="120">
        <v>-9999</v>
      </c>
      <c r="Y674" s="120">
        <v>-9999</v>
      </c>
      <c r="Z674" s="120">
        <v>-9999</v>
      </c>
      <c r="AA674" s="120">
        <v>68</v>
      </c>
      <c r="AB674" s="120">
        <v>14.5</v>
      </c>
      <c r="AC674" s="120">
        <v>673</v>
      </c>
      <c r="AD674" s="120">
        <v>1945</v>
      </c>
      <c r="AE674" s="120">
        <v>-9999</v>
      </c>
      <c r="AF674" s="120">
        <v>-9999</v>
      </c>
      <c r="AG674" s="120">
        <v>-9999</v>
      </c>
    </row>
    <row r="675" spans="1:33" x14ac:dyDescent="0.25">
      <c r="A675" s="120">
        <v>674</v>
      </c>
      <c r="B675" s="120" t="b">
        <v>0</v>
      </c>
      <c r="C675" s="120">
        <v>0</v>
      </c>
      <c r="D675" s="61">
        <v>2</v>
      </c>
      <c r="E675" s="120">
        <v>1</v>
      </c>
      <c r="F675" s="120" t="s">
        <v>177</v>
      </c>
      <c r="G675" s="55">
        <v>125</v>
      </c>
      <c r="H675" s="120">
        <v>395</v>
      </c>
      <c r="I675" s="57">
        <v>200</v>
      </c>
      <c r="J675" s="120">
        <v>210</v>
      </c>
      <c r="K675" s="120">
        <v>4</v>
      </c>
      <c r="L675" s="120">
        <v>100</v>
      </c>
      <c r="M675" s="120">
        <v>15</v>
      </c>
      <c r="N675" s="120">
        <v>40</v>
      </c>
      <c r="O675" s="120">
        <v>2</v>
      </c>
      <c r="P675" s="120">
        <v>-9999</v>
      </c>
      <c r="Q675" s="120">
        <v>131.30000305175801</v>
      </c>
      <c r="R675" s="120">
        <v>106</v>
      </c>
      <c r="S675" s="148">
        <v>26.799999237060501</v>
      </c>
      <c r="T675" s="120">
        <v>-9999</v>
      </c>
      <c r="U675" s="120">
        <v>20</v>
      </c>
      <c r="V675" s="120">
        <v>-9999</v>
      </c>
      <c r="W675" s="120">
        <v>-9999</v>
      </c>
      <c r="X675" s="120">
        <v>-9999</v>
      </c>
      <c r="Y675" s="120">
        <v>-9999</v>
      </c>
      <c r="Z675" s="120">
        <v>-9999</v>
      </c>
      <c r="AA675" s="120">
        <v>68</v>
      </c>
      <c r="AB675" s="120">
        <v>14.5</v>
      </c>
      <c r="AC675" s="120">
        <v>674</v>
      </c>
      <c r="AD675" s="120">
        <v>1946</v>
      </c>
      <c r="AE675" s="120">
        <v>-9999</v>
      </c>
      <c r="AF675" s="120">
        <v>-9999</v>
      </c>
      <c r="AG675" s="120">
        <v>-9999</v>
      </c>
    </row>
    <row r="676" spans="1:33" x14ac:dyDescent="0.25">
      <c r="A676" s="120">
        <v>675</v>
      </c>
      <c r="B676" s="120" t="b">
        <v>0</v>
      </c>
      <c r="C676" s="120">
        <v>0</v>
      </c>
      <c r="D676" s="61">
        <v>2</v>
      </c>
      <c r="E676" s="120">
        <v>1</v>
      </c>
      <c r="F676" s="120" t="s">
        <v>177</v>
      </c>
      <c r="G676" s="55">
        <v>125</v>
      </c>
      <c r="H676" s="120">
        <v>395</v>
      </c>
      <c r="I676" s="57">
        <v>200</v>
      </c>
      <c r="J676" s="120">
        <v>210</v>
      </c>
      <c r="K676" s="120">
        <v>11</v>
      </c>
      <c r="L676" s="120">
        <v>60</v>
      </c>
      <c r="M676" s="120">
        <v>15</v>
      </c>
      <c r="N676" s="120">
        <v>40</v>
      </c>
      <c r="O676" s="120">
        <v>2</v>
      </c>
      <c r="P676" s="120">
        <v>25</v>
      </c>
      <c r="Q676" s="120">
        <v>131.30000305175801</v>
      </c>
      <c r="R676" s="120">
        <v>106</v>
      </c>
      <c r="S676" s="148">
        <v>26.799999237060501</v>
      </c>
      <c r="T676" s="120">
        <v>70</v>
      </c>
      <c r="U676" s="120">
        <v>20</v>
      </c>
      <c r="V676" s="120">
        <v>-9999</v>
      </c>
      <c r="W676" s="120">
        <v>-9999</v>
      </c>
      <c r="X676" s="120">
        <v>-9999</v>
      </c>
      <c r="Y676" s="120">
        <v>-9999</v>
      </c>
      <c r="Z676" s="120">
        <v>-9999</v>
      </c>
      <c r="AA676" s="120">
        <v>68</v>
      </c>
      <c r="AB676" s="120">
        <v>14.5</v>
      </c>
      <c r="AC676" s="120">
        <v>675</v>
      </c>
      <c r="AD676" s="120">
        <v>1947</v>
      </c>
      <c r="AE676" s="120">
        <v>-9999</v>
      </c>
      <c r="AF676" s="120">
        <v>-9999</v>
      </c>
      <c r="AG676" s="120">
        <v>-9999</v>
      </c>
    </row>
    <row r="677" spans="1:33" x14ac:dyDescent="0.25">
      <c r="A677" s="120">
        <v>676</v>
      </c>
      <c r="B677" s="120" t="b">
        <v>0</v>
      </c>
      <c r="C677" s="120">
        <v>0</v>
      </c>
      <c r="D677" s="61">
        <v>2</v>
      </c>
      <c r="E677" s="120">
        <v>1</v>
      </c>
      <c r="F677" s="120" t="s">
        <v>178</v>
      </c>
      <c r="G677" s="55">
        <v>150</v>
      </c>
      <c r="H677" s="120">
        <v>788</v>
      </c>
      <c r="I677" s="57">
        <v>100</v>
      </c>
      <c r="J677" s="120">
        <v>110</v>
      </c>
      <c r="K677" s="120">
        <v>1</v>
      </c>
      <c r="L677" s="120">
        <v>50</v>
      </c>
      <c r="M677" s="120">
        <v>15</v>
      </c>
      <c r="N677" s="120">
        <v>40</v>
      </c>
      <c r="O677" s="120">
        <v>2</v>
      </c>
      <c r="P677" s="120">
        <v>5</v>
      </c>
      <c r="Q677" s="120">
        <v>157.5</v>
      </c>
      <c r="R677" s="120">
        <v>126.300003051758</v>
      </c>
      <c r="S677" s="148">
        <v>16</v>
      </c>
      <c r="T677" s="120">
        <v>65</v>
      </c>
      <c r="U677" s="120">
        <v>20</v>
      </c>
      <c r="V677" s="120">
        <v>-9999</v>
      </c>
      <c r="W677" s="120">
        <v>-9999</v>
      </c>
      <c r="X677" s="120">
        <v>-9999</v>
      </c>
      <c r="Y677" s="120">
        <v>-9999</v>
      </c>
      <c r="Z677" s="120">
        <v>-9999</v>
      </c>
      <c r="AA677" s="120">
        <v>68</v>
      </c>
      <c r="AB677" s="120">
        <v>14.5</v>
      </c>
      <c r="AC677" s="120">
        <v>676</v>
      </c>
      <c r="AD677" s="120">
        <v>1948</v>
      </c>
      <c r="AE677" s="120">
        <v>-9999</v>
      </c>
      <c r="AF677" s="120">
        <v>-9999</v>
      </c>
      <c r="AG677" s="120">
        <v>-9999</v>
      </c>
    </row>
    <row r="678" spans="1:33" x14ac:dyDescent="0.25">
      <c r="A678" s="120">
        <v>677</v>
      </c>
      <c r="B678" s="120" t="b">
        <v>0</v>
      </c>
      <c r="C678" s="120">
        <v>0</v>
      </c>
      <c r="D678" s="61">
        <v>2</v>
      </c>
      <c r="E678" s="120">
        <v>1</v>
      </c>
      <c r="F678" s="120" t="s">
        <v>178</v>
      </c>
      <c r="G678" s="55">
        <v>150</v>
      </c>
      <c r="H678" s="120">
        <v>826</v>
      </c>
      <c r="I678" s="57">
        <v>100</v>
      </c>
      <c r="J678" s="120">
        <v>100</v>
      </c>
      <c r="K678" s="120">
        <v>2</v>
      </c>
      <c r="L678" s="120">
        <v>50</v>
      </c>
      <c r="M678" s="120">
        <v>15</v>
      </c>
      <c r="N678" s="120">
        <v>40</v>
      </c>
      <c r="O678" s="120">
        <v>2</v>
      </c>
      <c r="P678" s="120">
        <v>20</v>
      </c>
      <c r="Q678" s="120">
        <v>165</v>
      </c>
      <c r="R678" s="120">
        <v>132.39999389648401</v>
      </c>
      <c r="S678" s="148">
        <v>16</v>
      </c>
      <c r="T678" s="120">
        <v>65</v>
      </c>
      <c r="U678" s="120">
        <v>20</v>
      </c>
      <c r="V678" s="120">
        <v>-9999</v>
      </c>
      <c r="W678" s="120">
        <v>-9999</v>
      </c>
      <c r="X678" s="120">
        <v>-9999</v>
      </c>
      <c r="Y678" s="120">
        <v>-9999</v>
      </c>
      <c r="Z678" s="120">
        <v>-9999</v>
      </c>
      <c r="AA678" s="120">
        <v>68</v>
      </c>
      <c r="AB678" s="120">
        <v>14.5</v>
      </c>
      <c r="AC678" s="120">
        <v>677</v>
      </c>
      <c r="AD678" s="120">
        <v>1949</v>
      </c>
      <c r="AE678" s="120">
        <v>-9999</v>
      </c>
      <c r="AF678" s="120">
        <v>-9999</v>
      </c>
      <c r="AG678" s="120">
        <v>-9999</v>
      </c>
    </row>
    <row r="679" spans="1:33" x14ac:dyDescent="0.25">
      <c r="A679" s="120">
        <v>678</v>
      </c>
      <c r="B679" s="120" t="b">
        <v>0</v>
      </c>
      <c r="C679" s="120">
        <v>0</v>
      </c>
      <c r="D679" s="61">
        <v>2</v>
      </c>
      <c r="E679" s="120">
        <v>1</v>
      </c>
      <c r="F679" s="120" t="s">
        <v>178</v>
      </c>
      <c r="G679" s="55">
        <v>150</v>
      </c>
      <c r="H679" s="120">
        <v>826</v>
      </c>
      <c r="I679" s="57">
        <v>100</v>
      </c>
      <c r="J679" s="120">
        <v>100</v>
      </c>
      <c r="K679" s="120">
        <v>3</v>
      </c>
      <c r="L679" s="120">
        <v>40</v>
      </c>
      <c r="M679" s="120">
        <v>15</v>
      </c>
      <c r="N679" s="120">
        <v>40</v>
      </c>
      <c r="O679" s="120">
        <v>2</v>
      </c>
      <c r="P679" s="120">
        <v>16.666999816894499</v>
      </c>
      <c r="Q679" s="120">
        <v>165</v>
      </c>
      <c r="R679" s="120">
        <v>132.39999389648401</v>
      </c>
      <c r="S679" s="148">
        <v>16</v>
      </c>
      <c r="T679" s="120">
        <v>57</v>
      </c>
      <c r="U679" s="120">
        <v>20</v>
      </c>
      <c r="V679" s="120">
        <v>-9999</v>
      </c>
      <c r="W679" s="120">
        <v>-9999</v>
      </c>
      <c r="X679" s="120">
        <v>-9999</v>
      </c>
      <c r="Y679" s="120">
        <v>-9999</v>
      </c>
      <c r="Z679" s="120">
        <v>-9999</v>
      </c>
      <c r="AA679" s="120">
        <v>68</v>
      </c>
      <c r="AB679" s="120">
        <v>14.5</v>
      </c>
      <c r="AC679" s="120">
        <v>678</v>
      </c>
      <c r="AD679" s="120">
        <v>1950</v>
      </c>
      <c r="AE679" s="120">
        <v>-9999</v>
      </c>
      <c r="AF679" s="120">
        <v>-9999</v>
      </c>
      <c r="AG679" s="120">
        <v>-9999</v>
      </c>
    </row>
    <row r="680" spans="1:33" x14ac:dyDescent="0.25">
      <c r="A680" s="120">
        <v>679</v>
      </c>
      <c r="B680" s="120" t="b">
        <v>0</v>
      </c>
      <c r="C680" s="120">
        <v>0</v>
      </c>
      <c r="D680" s="61">
        <v>2</v>
      </c>
      <c r="E680" s="120">
        <v>1</v>
      </c>
      <c r="F680" s="120" t="s">
        <v>178</v>
      </c>
      <c r="G680" s="55">
        <v>150</v>
      </c>
      <c r="H680" s="120">
        <v>788</v>
      </c>
      <c r="I680" s="57">
        <v>100</v>
      </c>
      <c r="J680" s="120">
        <v>110</v>
      </c>
      <c r="K680" s="120">
        <v>4</v>
      </c>
      <c r="L680" s="120">
        <v>100</v>
      </c>
      <c r="M680" s="120">
        <v>15</v>
      </c>
      <c r="N680" s="120">
        <v>40</v>
      </c>
      <c r="O680" s="120">
        <v>2</v>
      </c>
      <c r="P680" s="120">
        <v>-9999</v>
      </c>
      <c r="Q680" s="120">
        <v>157.5</v>
      </c>
      <c r="R680" s="120">
        <v>126.300003051758</v>
      </c>
      <c r="S680" s="148">
        <v>16</v>
      </c>
      <c r="T680" s="120">
        <v>-9999</v>
      </c>
      <c r="U680" s="120">
        <v>20</v>
      </c>
      <c r="V680" s="120">
        <v>-9999</v>
      </c>
      <c r="W680" s="120">
        <v>-9999</v>
      </c>
      <c r="X680" s="120">
        <v>-9999</v>
      </c>
      <c r="Y680" s="120">
        <v>-9999</v>
      </c>
      <c r="Z680" s="120">
        <v>-9999</v>
      </c>
      <c r="AA680" s="120">
        <v>68</v>
      </c>
      <c r="AB680" s="120">
        <v>14.5</v>
      </c>
      <c r="AC680" s="120">
        <v>679</v>
      </c>
      <c r="AD680" s="120">
        <v>1951</v>
      </c>
      <c r="AE680" s="120">
        <v>-9999</v>
      </c>
      <c r="AF680" s="120">
        <v>-9999</v>
      </c>
      <c r="AG680" s="120">
        <v>-9999</v>
      </c>
    </row>
    <row r="681" spans="1:33" x14ac:dyDescent="0.25">
      <c r="A681" s="120">
        <v>680</v>
      </c>
      <c r="B681" s="120" t="b">
        <v>0</v>
      </c>
      <c r="C681" s="120">
        <v>0</v>
      </c>
      <c r="D681" s="61">
        <v>2</v>
      </c>
      <c r="E681" s="120">
        <v>1</v>
      </c>
      <c r="F681" s="120" t="s">
        <v>178</v>
      </c>
      <c r="G681" s="55">
        <v>150</v>
      </c>
      <c r="H681" s="120">
        <v>788</v>
      </c>
      <c r="I681" s="57">
        <v>100</v>
      </c>
      <c r="J681" s="120">
        <v>110</v>
      </c>
      <c r="K681" s="120">
        <v>11</v>
      </c>
      <c r="L681" s="120">
        <v>60</v>
      </c>
      <c r="M681" s="120">
        <v>15</v>
      </c>
      <c r="N681" s="120">
        <v>40</v>
      </c>
      <c r="O681" s="120">
        <v>2</v>
      </c>
      <c r="P681" s="120">
        <v>25</v>
      </c>
      <c r="Q681" s="120">
        <v>157.5</v>
      </c>
      <c r="R681" s="120">
        <v>126.300003051758</v>
      </c>
      <c r="S681" s="148">
        <v>16</v>
      </c>
      <c r="T681" s="120">
        <v>70</v>
      </c>
      <c r="U681" s="120">
        <v>20</v>
      </c>
      <c r="V681" s="120">
        <v>-9999</v>
      </c>
      <c r="W681" s="120">
        <v>-9999</v>
      </c>
      <c r="X681" s="120">
        <v>-9999</v>
      </c>
      <c r="Y681" s="120">
        <v>-9999</v>
      </c>
      <c r="Z681" s="120">
        <v>-9999</v>
      </c>
      <c r="AA681" s="120">
        <v>68</v>
      </c>
      <c r="AB681" s="120">
        <v>14.5</v>
      </c>
      <c r="AC681" s="120">
        <v>680</v>
      </c>
      <c r="AD681" s="120">
        <v>1952</v>
      </c>
      <c r="AE681" s="120">
        <v>-9999</v>
      </c>
      <c r="AF681" s="120">
        <v>-9999</v>
      </c>
      <c r="AG681" s="120">
        <v>-9999</v>
      </c>
    </row>
    <row r="682" spans="1:33" x14ac:dyDescent="0.25">
      <c r="A682" s="120">
        <v>681</v>
      </c>
      <c r="B682" s="120" t="b">
        <v>0</v>
      </c>
      <c r="C682" s="120">
        <v>0</v>
      </c>
      <c r="D682" s="61">
        <v>2</v>
      </c>
      <c r="E682" s="120">
        <v>1</v>
      </c>
      <c r="F682" s="120" t="s">
        <v>178</v>
      </c>
      <c r="G682" s="55">
        <v>150</v>
      </c>
      <c r="H682" s="120">
        <v>721</v>
      </c>
      <c r="I682" s="57">
        <v>115</v>
      </c>
      <c r="J682" s="120">
        <v>125</v>
      </c>
      <c r="K682" s="120">
        <v>1</v>
      </c>
      <c r="L682" s="120">
        <v>50</v>
      </c>
      <c r="M682" s="120">
        <v>15</v>
      </c>
      <c r="N682" s="120">
        <v>40</v>
      </c>
      <c r="O682" s="120">
        <v>2</v>
      </c>
      <c r="P682" s="120">
        <v>5</v>
      </c>
      <c r="Q682" s="120">
        <v>157.5</v>
      </c>
      <c r="R682" s="120">
        <v>126.300003051758</v>
      </c>
      <c r="S682" s="148">
        <v>17.5</v>
      </c>
      <c r="T682" s="120">
        <v>65</v>
      </c>
      <c r="U682" s="120">
        <v>20</v>
      </c>
      <c r="V682" s="120">
        <v>-9999</v>
      </c>
      <c r="W682" s="120">
        <v>-9999</v>
      </c>
      <c r="X682" s="120">
        <v>-9999</v>
      </c>
      <c r="Y682" s="120">
        <v>-9999</v>
      </c>
      <c r="Z682" s="120">
        <v>-9999</v>
      </c>
      <c r="AA682" s="120">
        <v>68</v>
      </c>
      <c r="AB682" s="120">
        <v>14.5</v>
      </c>
      <c r="AC682" s="120">
        <v>681</v>
      </c>
      <c r="AD682" s="120">
        <v>1953</v>
      </c>
      <c r="AE682" s="120">
        <v>-9999</v>
      </c>
      <c r="AF682" s="120">
        <v>-9999</v>
      </c>
      <c r="AG682" s="120">
        <v>-9999</v>
      </c>
    </row>
    <row r="683" spans="1:33" x14ac:dyDescent="0.25">
      <c r="A683" s="120">
        <v>682</v>
      </c>
      <c r="B683" s="120" t="b">
        <v>0</v>
      </c>
      <c r="C683" s="120">
        <v>0</v>
      </c>
      <c r="D683" s="61">
        <v>2</v>
      </c>
      <c r="E683" s="120">
        <v>1</v>
      </c>
      <c r="F683" s="120" t="s">
        <v>178</v>
      </c>
      <c r="G683" s="55">
        <v>150</v>
      </c>
      <c r="H683" s="120">
        <v>755</v>
      </c>
      <c r="I683" s="57">
        <v>115</v>
      </c>
      <c r="J683" s="120">
        <v>115</v>
      </c>
      <c r="K683" s="120">
        <v>2</v>
      </c>
      <c r="L683" s="120">
        <v>50</v>
      </c>
      <c r="M683" s="120">
        <v>15</v>
      </c>
      <c r="N683" s="120">
        <v>40</v>
      </c>
      <c r="O683" s="120">
        <v>2</v>
      </c>
      <c r="P683" s="120">
        <v>20</v>
      </c>
      <c r="Q683" s="120">
        <v>165</v>
      </c>
      <c r="R683" s="120">
        <v>132.39999389648401</v>
      </c>
      <c r="S683" s="148">
        <v>17.5</v>
      </c>
      <c r="T683" s="120">
        <v>65</v>
      </c>
      <c r="U683" s="120">
        <v>20</v>
      </c>
      <c r="V683" s="120">
        <v>-9999</v>
      </c>
      <c r="W683" s="120">
        <v>-9999</v>
      </c>
      <c r="X683" s="120">
        <v>-9999</v>
      </c>
      <c r="Y683" s="120">
        <v>-9999</v>
      </c>
      <c r="Z683" s="120">
        <v>-9999</v>
      </c>
      <c r="AA683" s="120">
        <v>68</v>
      </c>
      <c r="AB683" s="120">
        <v>14.5</v>
      </c>
      <c r="AC683" s="120">
        <v>682</v>
      </c>
      <c r="AD683" s="120">
        <v>1954</v>
      </c>
      <c r="AE683" s="120">
        <v>-9999</v>
      </c>
      <c r="AF683" s="120">
        <v>-9999</v>
      </c>
      <c r="AG683" s="120">
        <v>-9999</v>
      </c>
    </row>
    <row r="684" spans="1:33" x14ac:dyDescent="0.25">
      <c r="A684" s="120">
        <v>683</v>
      </c>
      <c r="B684" s="120" t="b">
        <v>0</v>
      </c>
      <c r="C684" s="120">
        <v>0</v>
      </c>
      <c r="D684" s="61">
        <v>2</v>
      </c>
      <c r="E684" s="120">
        <v>1</v>
      </c>
      <c r="F684" s="120" t="s">
        <v>178</v>
      </c>
      <c r="G684" s="55">
        <v>150</v>
      </c>
      <c r="H684" s="120">
        <v>755</v>
      </c>
      <c r="I684" s="57">
        <v>115</v>
      </c>
      <c r="J684" s="120">
        <v>115</v>
      </c>
      <c r="K684" s="120">
        <v>3</v>
      </c>
      <c r="L684" s="120">
        <v>40</v>
      </c>
      <c r="M684" s="120">
        <v>15</v>
      </c>
      <c r="N684" s="120">
        <v>40</v>
      </c>
      <c r="O684" s="120">
        <v>2</v>
      </c>
      <c r="P684" s="120">
        <v>16.666999816894499</v>
      </c>
      <c r="Q684" s="120">
        <v>165</v>
      </c>
      <c r="R684" s="120">
        <v>132.39999389648401</v>
      </c>
      <c r="S684" s="148">
        <v>17.5</v>
      </c>
      <c r="T684" s="120">
        <v>57</v>
      </c>
      <c r="U684" s="120">
        <v>20</v>
      </c>
      <c r="V684" s="120">
        <v>-9999</v>
      </c>
      <c r="W684" s="120">
        <v>-9999</v>
      </c>
      <c r="X684" s="120">
        <v>-9999</v>
      </c>
      <c r="Y684" s="120">
        <v>-9999</v>
      </c>
      <c r="Z684" s="120">
        <v>-9999</v>
      </c>
      <c r="AA684" s="120">
        <v>68</v>
      </c>
      <c r="AB684" s="120">
        <v>14.5</v>
      </c>
      <c r="AC684" s="120">
        <v>683</v>
      </c>
      <c r="AD684" s="120">
        <v>1955</v>
      </c>
      <c r="AE684" s="120">
        <v>-9999</v>
      </c>
      <c r="AF684" s="120">
        <v>-9999</v>
      </c>
      <c r="AG684" s="120">
        <v>-9999</v>
      </c>
    </row>
    <row r="685" spans="1:33" x14ac:dyDescent="0.25">
      <c r="A685" s="120">
        <v>684</v>
      </c>
      <c r="B685" s="120" t="b">
        <v>0</v>
      </c>
      <c r="C685" s="120">
        <v>0</v>
      </c>
      <c r="D685" s="61">
        <v>2</v>
      </c>
      <c r="E685" s="120">
        <v>1</v>
      </c>
      <c r="F685" s="120" t="s">
        <v>178</v>
      </c>
      <c r="G685" s="55">
        <v>150</v>
      </c>
      <c r="H685" s="120">
        <v>721</v>
      </c>
      <c r="I685" s="57">
        <v>115</v>
      </c>
      <c r="J685" s="120">
        <v>125</v>
      </c>
      <c r="K685" s="120">
        <v>4</v>
      </c>
      <c r="L685" s="120">
        <v>100</v>
      </c>
      <c r="M685" s="120">
        <v>15</v>
      </c>
      <c r="N685" s="120">
        <v>40</v>
      </c>
      <c r="O685" s="120">
        <v>2</v>
      </c>
      <c r="P685" s="120">
        <v>-9999</v>
      </c>
      <c r="Q685" s="120">
        <v>157.5</v>
      </c>
      <c r="R685" s="120">
        <v>126.300003051758</v>
      </c>
      <c r="S685" s="148">
        <v>17.5</v>
      </c>
      <c r="T685" s="120">
        <v>-9999</v>
      </c>
      <c r="U685" s="120">
        <v>20</v>
      </c>
      <c r="V685" s="120">
        <v>-9999</v>
      </c>
      <c r="W685" s="120">
        <v>-9999</v>
      </c>
      <c r="X685" s="120">
        <v>-9999</v>
      </c>
      <c r="Y685" s="120">
        <v>-9999</v>
      </c>
      <c r="Z685" s="120">
        <v>-9999</v>
      </c>
      <c r="AA685" s="120">
        <v>68</v>
      </c>
      <c r="AB685" s="120">
        <v>14.5</v>
      </c>
      <c r="AC685" s="120">
        <v>684</v>
      </c>
      <c r="AD685" s="120">
        <v>1956</v>
      </c>
      <c r="AE685" s="120">
        <v>-9999</v>
      </c>
      <c r="AF685" s="120">
        <v>-9999</v>
      </c>
      <c r="AG685" s="120">
        <v>-9999</v>
      </c>
    </row>
    <row r="686" spans="1:33" x14ac:dyDescent="0.25">
      <c r="A686" s="120">
        <v>685</v>
      </c>
      <c r="B686" s="120" t="b">
        <v>0</v>
      </c>
      <c r="C686" s="120">
        <v>0</v>
      </c>
      <c r="D686" s="61">
        <v>2</v>
      </c>
      <c r="E686" s="120">
        <v>1</v>
      </c>
      <c r="F686" s="120" t="s">
        <v>178</v>
      </c>
      <c r="G686" s="55">
        <v>150</v>
      </c>
      <c r="H686" s="120">
        <v>721</v>
      </c>
      <c r="I686" s="57">
        <v>115</v>
      </c>
      <c r="J686" s="120">
        <v>125</v>
      </c>
      <c r="K686" s="120">
        <v>11</v>
      </c>
      <c r="L686" s="120">
        <v>60</v>
      </c>
      <c r="M686" s="120">
        <v>15</v>
      </c>
      <c r="N686" s="120">
        <v>40</v>
      </c>
      <c r="O686" s="120">
        <v>2</v>
      </c>
      <c r="P686" s="120">
        <v>25</v>
      </c>
      <c r="Q686" s="120">
        <v>157.5</v>
      </c>
      <c r="R686" s="120">
        <v>126.300003051758</v>
      </c>
      <c r="S686" s="148">
        <v>17.5</v>
      </c>
      <c r="T686" s="120">
        <v>70</v>
      </c>
      <c r="U686" s="120">
        <v>20</v>
      </c>
      <c r="V686" s="120">
        <v>-9999</v>
      </c>
      <c r="W686" s="120">
        <v>-9999</v>
      </c>
      <c r="X686" s="120">
        <v>-9999</v>
      </c>
      <c r="Y686" s="120">
        <v>-9999</v>
      </c>
      <c r="Z686" s="120">
        <v>-9999</v>
      </c>
      <c r="AA686" s="120">
        <v>68</v>
      </c>
      <c r="AB686" s="120">
        <v>14.5</v>
      </c>
      <c r="AC686" s="120">
        <v>685</v>
      </c>
      <c r="AD686" s="120">
        <v>1957</v>
      </c>
      <c r="AE686" s="120">
        <v>-9999</v>
      </c>
      <c r="AF686" s="120">
        <v>-9999</v>
      </c>
      <c r="AG686" s="120">
        <v>-9999</v>
      </c>
    </row>
    <row r="687" spans="1:33" x14ac:dyDescent="0.25">
      <c r="A687" s="120">
        <v>686</v>
      </c>
      <c r="B687" s="120" t="b">
        <v>0</v>
      </c>
      <c r="C687" s="120">
        <v>0</v>
      </c>
      <c r="D687" s="61">
        <v>2</v>
      </c>
      <c r="E687" s="120">
        <v>1</v>
      </c>
      <c r="F687" s="120" t="s">
        <v>178</v>
      </c>
      <c r="G687" s="55">
        <v>150</v>
      </c>
      <c r="H687" s="120">
        <v>709</v>
      </c>
      <c r="I687" s="57">
        <v>125</v>
      </c>
      <c r="J687" s="120">
        <v>135</v>
      </c>
      <c r="K687" s="120">
        <v>1</v>
      </c>
      <c r="L687" s="120">
        <v>50</v>
      </c>
      <c r="M687" s="120">
        <v>15</v>
      </c>
      <c r="N687" s="120">
        <v>40</v>
      </c>
      <c r="O687" s="120">
        <v>2</v>
      </c>
      <c r="P687" s="120">
        <v>5</v>
      </c>
      <c r="Q687" s="120">
        <v>157.5</v>
      </c>
      <c r="R687" s="120">
        <v>126.300003051758</v>
      </c>
      <c r="S687" s="148">
        <v>17.799999237060501</v>
      </c>
      <c r="T687" s="120">
        <v>65</v>
      </c>
      <c r="U687" s="120">
        <v>20</v>
      </c>
      <c r="V687" s="120">
        <v>-9999</v>
      </c>
      <c r="W687" s="120">
        <v>-9999</v>
      </c>
      <c r="X687" s="120">
        <v>-9999</v>
      </c>
      <c r="Y687" s="120">
        <v>-9999</v>
      </c>
      <c r="Z687" s="120">
        <v>-9999</v>
      </c>
      <c r="AA687" s="120">
        <v>68</v>
      </c>
      <c r="AB687" s="120">
        <v>14.5</v>
      </c>
      <c r="AC687" s="120">
        <v>686</v>
      </c>
      <c r="AD687" s="120">
        <v>1958</v>
      </c>
      <c r="AE687" s="120">
        <v>-9999</v>
      </c>
      <c r="AF687" s="120">
        <v>-9999</v>
      </c>
      <c r="AG687" s="120">
        <v>-9999</v>
      </c>
    </row>
    <row r="688" spans="1:33" x14ac:dyDescent="0.25">
      <c r="A688" s="120">
        <v>687</v>
      </c>
      <c r="B688" s="120" t="b">
        <v>0</v>
      </c>
      <c r="C688" s="120">
        <v>0</v>
      </c>
      <c r="D688" s="61">
        <v>2</v>
      </c>
      <c r="E688" s="120">
        <v>1</v>
      </c>
      <c r="F688" s="120" t="s">
        <v>178</v>
      </c>
      <c r="G688" s="55">
        <v>150</v>
      </c>
      <c r="H688" s="120">
        <v>743</v>
      </c>
      <c r="I688" s="57">
        <v>125</v>
      </c>
      <c r="J688" s="120">
        <v>125</v>
      </c>
      <c r="K688" s="120">
        <v>2</v>
      </c>
      <c r="L688" s="120">
        <v>50</v>
      </c>
      <c r="M688" s="120">
        <v>15</v>
      </c>
      <c r="N688" s="120">
        <v>40</v>
      </c>
      <c r="O688" s="120">
        <v>2</v>
      </c>
      <c r="P688" s="120">
        <v>20</v>
      </c>
      <c r="Q688" s="120">
        <v>165</v>
      </c>
      <c r="R688" s="120">
        <v>132.39999389648401</v>
      </c>
      <c r="S688" s="148">
        <v>17.799999237060501</v>
      </c>
      <c r="T688" s="120">
        <v>65</v>
      </c>
      <c r="U688" s="120">
        <v>20</v>
      </c>
      <c r="V688" s="120">
        <v>-9999</v>
      </c>
      <c r="W688" s="120">
        <v>-9999</v>
      </c>
      <c r="X688" s="120">
        <v>-9999</v>
      </c>
      <c r="Y688" s="120">
        <v>-9999</v>
      </c>
      <c r="Z688" s="120">
        <v>-9999</v>
      </c>
      <c r="AA688" s="120">
        <v>68</v>
      </c>
      <c r="AB688" s="120">
        <v>14.5</v>
      </c>
      <c r="AC688" s="120">
        <v>687</v>
      </c>
      <c r="AD688" s="120">
        <v>1959</v>
      </c>
      <c r="AE688" s="120">
        <v>-9999</v>
      </c>
      <c r="AF688" s="120">
        <v>-9999</v>
      </c>
      <c r="AG688" s="120">
        <v>-9999</v>
      </c>
    </row>
    <row r="689" spans="1:33" x14ac:dyDescent="0.25">
      <c r="A689" s="120">
        <v>688</v>
      </c>
      <c r="B689" s="120" t="b">
        <v>0</v>
      </c>
      <c r="C689" s="120">
        <v>0</v>
      </c>
      <c r="D689" s="61">
        <v>2</v>
      </c>
      <c r="E689" s="120">
        <v>1</v>
      </c>
      <c r="F689" s="120" t="s">
        <v>178</v>
      </c>
      <c r="G689" s="55">
        <v>150</v>
      </c>
      <c r="H689" s="120">
        <v>743</v>
      </c>
      <c r="I689" s="57">
        <v>125</v>
      </c>
      <c r="J689" s="120">
        <v>125</v>
      </c>
      <c r="K689" s="120">
        <v>3</v>
      </c>
      <c r="L689" s="120">
        <v>40</v>
      </c>
      <c r="M689" s="120">
        <v>15</v>
      </c>
      <c r="N689" s="120">
        <v>40</v>
      </c>
      <c r="O689" s="120">
        <v>2</v>
      </c>
      <c r="P689" s="120">
        <v>16.666999816894499</v>
      </c>
      <c r="Q689" s="120">
        <v>165</v>
      </c>
      <c r="R689" s="120">
        <v>132.39999389648401</v>
      </c>
      <c r="S689" s="148">
        <v>17.799999237060501</v>
      </c>
      <c r="T689" s="120">
        <v>57</v>
      </c>
      <c r="U689" s="120">
        <v>20</v>
      </c>
      <c r="V689" s="120">
        <v>-9999</v>
      </c>
      <c r="W689" s="120">
        <v>-9999</v>
      </c>
      <c r="X689" s="120">
        <v>-9999</v>
      </c>
      <c r="Y689" s="120">
        <v>-9999</v>
      </c>
      <c r="Z689" s="120">
        <v>-9999</v>
      </c>
      <c r="AA689" s="120">
        <v>68</v>
      </c>
      <c r="AB689" s="120">
        <v>14.5</v>
      </c>
      <c r="AC689" s="120">
        <v>688</v>
      </c>
      <c r="AD689" s="120">
        <v>1960</v>
      </c>
      <c r="AE689" s="120">
        <v>-9999</v>
      </c>
      <c r="AF689" s="120">
        <v>-9999</v>
      </c>
      <c r="AG689" s="120">
        <v>-9999</v>
      </c>
    </row>
    <row r="690" spans="1:33" x14ac:dyDescent="0.25">
      <c r="A690" s="120">
        <v>689</v>
      </c>
      <c r="B690" s="120" t="b">
        <v>0</v>
      </c>
      <c r="C690" s="120">
        <v>0</v>
      </c>
      <c r="D690" s="61">
        <v>2</v>
      </c>
      <c r="E690" s="120">
        <v>1</v>
      </c>
      <c r="F690" s="120" t="s">
        <v>178</v>
      </c>
      <c r="G690" s="55">
        <v>150</v>
      </c>
      <c r="H690" s="120">
        <v>709</v>
      </c>
      <c r="I690" s="57">
        <v>125</v>
      </c>
      <c r="J690" s="120">
        <v>135</v>
      </c>
      <c r="K690" s="120">
        <v>4</v>
      </c>
      <c r="L690" s="120">
        <v>100</v>
      </c>
      <c r="M690" s="120">
        <v>15</v>
      </c>
      <c r="N690" s="120">
        <v>40</v>
      </c>
      <c r="O690" s="120">
        <v>2</v>
      </c>
      <c r="P690" s="120">
        <v>-9999</v>
      </c>
      <c r="Q690" s="120">
        <v>157.5</v>
      </c>
      <c r="R690" s="120">
        <v>126.300003051758</v>
      </c>
      <c r="S690" s="148">
        <v>17.799999237060501</v>
      </c>
      <c r="T690" s="120">
        <v>-9999</v>
      </c>
      <c r="U690" s="120">
        <v>20</v>
      </c>
      <c r="V690" s="120">
        <v>-9999</v>
      </c>
      <c r="W690" s="120">
        <v>-9999</v>
      </c>
      <c r="X690" s="120">
        <v>-9999</v>
      </c>
      <c r="Y690" s="120">
        <v>-9999</v>
      </c>
      <c r="Z690" s="120">
        <v>-9999</v>
      </c>
      <c r="AA690" s="120">
        <v>68</v>
      </c>
      <c r="AB690" s="120">
        <v>14.5</v>
      </c>
      <c r="AC690" s="120">
        <v>689</v>
      </c>
      <c r="AD690" s="120">
        <v>1961</v>
      </c>
      <c r="AE690" s="120">
        <v>-9999</v>
      </c>
      <c r="AF690" s="120">
        <v>-9999</v>
      </c>
      <c r="AG690" s="120">
        <v>-9999</v>
      </c>
    </row>
    <row r="691" spans="1:33" x14ac:dyDescent="0.25">
      <c r="A691" s="120">
        <v>690</v>
      </c>
      <c r="B691" s="120" t="b">
        <v>0</v>
      </c>
      <c r="C691" s="120">
        <v>0</v>
      </c>
      <c r="D691" s="61">
        <v>2</v>
      </c>
      <c r="E691" s="120">
        <v>1</v>
      </c>
      <c r="F691" s="120" t="s">
        <v>178</v>
      </c>
      <c r="G691" s="55">
        <v>150</v>
      </c>
      <c r="H691" s="120">
        <v>709</v>
      </c>
      <c r="I691" s="57">
        <v>125</v>
      </c>
      <c r="J691" s="120">
        <v>135</v>
      </c>
      <c r="K691" s="120">
        <v>11</v>
      </c>
      <c r="L691" s="120">
        <v>60</v>
      </c>
      <c r="M691" s="120">
        <v>15</v>
      </c>
      <c r="N691" s="120">
        <v>40</v>
      </c>
      <c r="O691" s="120">
        <v>2</v>
      </c>
      <c r="P691" s="120">
        <v>25</v>
      </c>
      <c r="Q691" s="120">
        <v>157.5</v>
      </c>
      <c r="R691" s="120">
        <v>126.300003051758</v>
      </c>
      <c r="S691" s="148">
        <v>17.799999237060501</v>
      </c>
      <c r="T691" s="120">
        <v>70</v>
      </c>
      <c r="U691" s="120">
        <v>20</v>
      </c>
      <c r="V691" s="120">
        <v>-9999</v>
      </c>
      <c r="W691" s="120">
        <v>-9999</v>
      </c>
      <c r="X691" s="120">
        <v>-9999</v>
      </c>
      <c r="Y691" s="120">
        <v>-9999</v>
      </c>
      <c r="Z691" s="120">
        <v>-9999</v>
      </c>
      <c r="AA691" s="120">
        <v>68</v>
      </c>
      <c r="AB691" s="120">
        <v>14.5</v>
      </c>
      <c r="AC691" s="120">
        <v>690</v>
      </c>
      <c r="AD691" s="120">
        <v>1962</v>
      </c>
      <c r="AE691" s="120">
        <v>-9999</v>
      </c>
      <c r="AF691" s="120">
        <v>-9999</v>
      </c>
      <c r="AG691" s="120">
        <v>-9999</v>
      </c>
    </row>
    <row r="692" spans="1:33" x14ac:dyDescent="0.25">
      <c r="A692" s="120">
        <v>691</v>
      </c>
      <c r="B692" s="120" t="b">
        <v>0</v>
      </c>
      <c r="C692" s="120">
        <v>0</v>
      </c>
      <c r="D692" s="61">
        <v>2</v>
      </c>
      <c r="E692" s="120">
        <v>1</v>
      </c>
      <c r="F692" s="120" t="s">
        <v>178</v>
      </c>
      <c r="G692" s="55">
        <v>150</v>
      </c>
      <c r="H692" s="120">
        <v>662</v>
      </c>
      <c r="I692" s="57">
        <v>140</v>
      </c>
      <c r="J692" s="120">
        <v>150</v>
      </c>
      <c r="K692" s="120">
        <v>1</v>
      </c>
      <c r="L692" s="120">
        <v>50</v>
      </c>
      <c r="M692" s="120">
        <v>15</v>
      </c>
      <c r="N692" s="120">
        <v>40</v>
      </c>
      <c r="O692" s="120">
        <v>2</v>
      </c>
      <c r="P692" s="120">
        <v>5</v>
      </c>
      <c r="Q692" s="120">
        <v>157.5</v>
      </c>
      <c r="R692" s="120">
        <v>126.300003051758</v>
      </c>
      <c r="S692" s="148">
        <v>19.100000381469702</v>
      </c>
      <c r="T692" s="120">
        <v>65</v>
      </c>
      <c r="U692" s="120">
        <v>20</v>
      </c>
      <c r="V692" s="120">
        <v>-9999</v>
      </c>
      <c r="W692" s="120">
        <v>-9999</v>
      </c>
      <c r="X692" s="120">
        <v>-9999</v>
      </c>
      <c r="Y692" s="120">
        <v>-9999</v>
      </c>
      <c r="Z692" s="120">
        <v>-9999</v>
      </c>
      <c r="AA692" s="120">
        <v>68</v>
      </c>
      <c r="AB692" s="120">
        <v>14.5</v>
      </c>
      <c r="AC692" s="120">
        <v>691</v>
      </c>
      <c r="AD692" s="120">
        <v>1963</v>
      </c>
      <c r="AE692" s="120">
        <v>-9999</v>
      </c>
      <c r="AF692" s="120">
        <v>-9999</v>
      </c>
      <c r="AG692" s="120">
        <v>-9999</v>
      </c>
    </row>
    <row r="693" spans="1:33" x14ac:dyDescent="0.25">
      <c r="A693" s="120">
        <v>692</v>
      </c>
      <c r="B693" s="120" t="b">
        <v>0</v>
      </c>
      <c r="C693" s="120">
        <v>0</v>
      </c>
      <c r="D693" s="61">
        <v>2</v>
      </c>
      <c r="E693" s="120">
        <v>1</v>
      </c>
      <c r="F693" s="120" t="s">
        <v>178</v>
      </c>
      <c r="G693" s="55">
        <v>150</v>
      </c>
      <c r="H693" s="120">
        <v>693</v>
      </c>
      <c r="I693" s="57">
        <v>140</v>
      </c>
      <c r="J693" s="120">
        <v>140</v>
      </c>
      <c r="K693" s="120">
        <v>2</v>
      </c>
      <c r="L693" s="120">
        <v>50</v>
      </c>
      <c r="M693" s="120">
        <v>15</v>
      </c>
      <c r="N693" s="120">
        <v>40</v>
      </c>
      <c r="O693" s="120">
        <v>2</v>
      </c>
      <c r="P693" s="120">
        <v>20</v>
      </c>
      <c r="Q693" s="120">
        <v>165</v>
      </c>
      <c r="R693" s="120">
        <v>132.39999389648401</v>
      </c>
      <c r="S693" s="148">
        <v>19.100000381469702</v>
      </c>
      <c r="T693" s="120">
        <v>65</v>
      </c>
      <c r="U693" s="120">
        <v>20</v>
      </c>
      <c r="V693" s="120">
        <v>-9999</v>
      </c>
      <c r="W693" s="120">
        <v>-9999</v>
      </c>
      <c r="X693" s="120">
        <v>-9999</v>
      </c>
      <c r="Y693" s="120">
        <v>-9999</v>
      </c>
      <c r="Z693" s="120">
        <v>-9999</v>
      </c>
      <c r="AA693" s="120">
        <v>68</v>
      </c>
      <c r="AB693" s="120">
        <v>14.5</v>
      </c>
      <c r="AC693" s="120">
        <v>692</v>
      </c>
      <c r="AD693" s="120">
        <v>1964</v>
      </c>
      <c r="AE693" s="120">
        <v>-9999</v>
      </c>
      <c r="AF693" s="120">
        <v>-9999</v>
      </c>
      <c r="AG693" s="120">
        <v>-9999</v>
      </c>
    </row>
    <row r="694" spans="1:33" x14ac:dyDescent="0.25">
      <c r="A694" s="120">
        <v>693</v>
      </c>
      <c r="B694" s="120" t="b">
        <v>0</v>
      </c>
      <c r="C694" s="120">
        <v>0</v>
      </c>
      <c r="D694" s="61">
        <v>2</v>
      </c>
      <c r="E694" s="120">
        <v>1</v>
      </c>
      <c r="F694" s="120" t="s">
        <v>178</v>
      </c>
      <c r="G694" s="55">
        <v>150</v>
      </c>
      <c r="H694" s="120">
        <v>693</v>
      </c>
      <c r="I694" s="57">
        <v>140</v>
      </c>
      <c r="J694" s="120">
        <v>140</v>
      </c>
      <c r="K694" s="120">
        <v>3</v>
      </c>
      <c r="L694" s="120">
        <v>40</v>
      </c>
      <c r="M694" s="120">
        <v>15</v>
      </c>
      <c r="N694" s="120">
        <v>40</v>
      </c>
      <c r="O694" s="120">
        <v>2</v>
      </c>
      <c r="P694" s="120">
        <v>16.666999816894499</v>
      </c>
      <c r="Q694" s="120">
        <v>165</v>
      </c>
      <c r="R694" s="120">
        <v>132.39999389648401</v>
      </c>
      <c r="S694" s="148">
        <v>19.100000381469702</v>
      </c>
      <c r="T694" s="120">
        <v>57</v>
      </c>
      <c r="U694" s="120">
        <v>20</v>
      </c>
      <c r="V694" s="120">
        <v>-9999</v>
      </c>
      <c r="W694" s="120">
        <v>-9999</v>
      </c>
      <c r="X694" s="120">
        <v>-9999</v>
      </c>
      <c r="Y694" s="120">
        <v>-9999</v>
      </c>
      <c r="Z694" s="120">
        <v>-9999</v>
      </c>
      <c r="AA694" s="120">
        <v>68</v>
      </c>
      <c r="AB694" s="120">
        <v>14.5</v>
      </c>
      <c r="AC694" s="120">
        <v>693</v>
      </c>
      <c r="AD694" s="120">
        <v>1965</v>
      </c>
      <c r="AE694" s="120">
        <v>-9999</v>
      </c>
      <c r="AF694" s="120">
        <v>-9999</v>
      </c>
      <c r="AG694" s="120">
        <v>-9999</v>
      </c>
    </row>
    <row r="695" spans="1:33" x14ac:dyDescent="0.25">
      <c r="A695" s="120">
        <v>694</v>
      </c>
      <c r="B695" s="120" t="b">
        <v>0</v>
      </c>
      <c r="C695" s="120">
        <v>0</v>
      </c>
      <c r="D695" s="61">
        <v>2</v>
      </c>
      <c r="E695" s="120">
        <v>1</v>
      </c>
      <c r="F695" s="120" t="s">
        <v>178</v>
      </c>
      <c r="G695" s="55">
        <v>150</v>
      </c>
      <c r="H695" s="120">
        <v>662</v>
      </c>
      <c r="I695" s="57">
        <v>140</v>
      </c>
      <c r="J695" s="120">
        <v>150</v>
      </c>
      <c r="K695" s="120">
        <v>4</v>
      </c>
      <c r="L695" s="120">
        <v>100</v>
      </c>
      <c r="M695" s="120">
        <v>15</v>
      </c>
      <c r="N695" s="120">
        <v>40</v>
      </c>
      <c r="O695" s="120">
        <v>2</v>
      </c>
      <c r="P695" s="120">
        <v>-9999</v>
      </c>
      <c r="Q695" s="120">
        <v>157.5</v>
      </c>
      <c r="R695" s="120">
        <v>126.300003051758</v>
      </c>
      <c r="S695" s="148">
        <v>19.100000381469702</v>
      </c>
      <c r="T695" s="120">
        <v>-9999</v>
      </c>
      <c r="U695" s="120">
        <v>20</v>
      </c>
      <c r="V695" s="120">
        <v>-9999</v>
      </c>
      <c r="W695" s="120">
        <v>-9999</v>
      </c>
      <c r="X695" s="120">
        <v>-9999</v>
      </c>
      <c r="Y695" s="120">
        <v>-9999</v>
      </c>
      <c r="Z695" s="120">
        <v>-9999</v>
      </c>
      <c r="AA695" s="120">
        <v>68</v>
      </c>
      <c r="AB695" s="120">
        <v>14.5</v>
      </c>
      <c r="AC695" s="120">
        <v>694</v>
      </c>
      <c r="AD695" s="120">
        <v>1966</v>
      </c>
      <c r="AE695" s="120">
        <v>-9999</v>
      </c>
      <c r="AF695" s="120">
        <v>-9999</v>
      </c>
      <c r="AG695" s="120">
        <v>-9999</v>
      </c>
    </row>
    <row r="696" spans="1:33" x14ac:dyDescent="0.25">
      <c r="A696" s="120">
        <v>695</v>
      </c>
      <c r="B696" s="120" t="b">
        <v>0</v>
      </c>
      <c r="C696" s="120">
        <v>0</v>
      </c>
      <c r="D696" s="61">
        <v>2</v>
      </c>
      <c r="E696" s="120">
        <v>1</v>
      </c>
      <c r="F696" s="120" t="s">
        <v>178</v>
      </c>
      <c r="G696" s="55">
        <v>150</v>
      </c>
      <c r="H696" s="120">
        <v>662</v>
      </c>
      <c r="I696" s="57">
        <v>140</v>
      </c>
      <c r="J696" s="120">
        <v>150</v>
      </c>
      <c r="K696" s="120">
        <v>11</v>
      </c>
      <c r="L696" s="120">
        <v>60</v>
      </c>
      <c r="M696" s="120">
        <v>15</v>
      </c>
      <c r="N696" s="120">
        <v>40</v>
      </c>
      <c r="O696" s="120">
        <v>2</v>
      </c>
      <c r="P696" s="120">
        <v>25</v>
      </c>
      <c r="Q696" s="120">
        <v>157.5</v>
      </c>
      <c r="R696" s="120">
        <v>126.300003051758</v>
      </c>
      <c r="S696" s="148">
        <v>19.100000381469702</v>
      </c>
      <c r="T696" s="120">
        <v>70</v>
      </c>
      <c r="U696" s="120">
        <v>20</v>
      </c>
      <c r="V696" s="120">
        <v>-9999</v>
      </c>
      <c r="W696" s="120">
        <v>-9999</v>
      </c>
      <c r="X696" s="120">
        <v>-9999</v>
      </c>
      <c r="Y696" s="120">
        <v>-9999</v>
      </c>
      <c r="Z696" s="120">
        <v>-9999</v>
      </c>
      <c r="AA696" s="120">
        <v>68</v>
      </c>
      <c r="AB696" s="120">
        <v>14.5</v>
      </c>
      <c r="AC696" s="120">
        <v>695</v>
      </c>
      <c r="AD696" s="120">
        <v>1967</v>
      </c>
      <c r="AE696" s="120">
        <v>-9999</v>
      </c>
      <c r="AF696" s="120">
        <v>-9999</v>
      </c>
      <c r="AG696" s="120">
        <v>-9999</v>
      </c>
    </row>
    <row r="697" spans="1:33" x14ac:dyDescent="0.25">
      <c r="A697" s="120">
        <v>696</v>
      </c>
      <c r="B697" s="120" t="b">
        <v>0</v>
      </c>
      <c r="C697" s="120">
        <v>0</v>
      </c>
      <c r="D697" s="61">
        <v>2</v>
      </c>
      <c r="E697" s="120">
        <v>1</v>
      </c>
      <c r="F697" s="120" t="s">
        <v>178</v>
      </c>
      <c r="G697" s="55">
        <v>150</v>
      </c>
      <c r="H697" s="120">
        <v>473</v>
      </c>
      <c r="I697" s="57">
        <v>200</v>
      </c>
      <c r="J697" s="120">
        <v>210</v>
      </c>
      <c r="K697" s="120">
        <v>1</v>
      </c>
      <c r="L697" s="120">
        <v>50</v>
      </c>
      <c r="M697" s="120">
        <v>15</v>
      </c>
      <c r="N697" s="120">
        <v>40</v>
      </c>
      <c r="O697" s="120">
        <v>2</v>
      </c>
      <c r="P697" s="120">
        <v>5</v>
      </c>
      <c r="Q697" s="120">
        <v>157.5</v>
      </c>
      <c r="R697" s="120">
        <v>126.300003051758</v>
      </c>
      <c r="S697" s="148">
        <v>26.700000762939499</v>
      </c>
      <c r="T697" s="120">
        <v>65</v>
      </c>
      <c r="U697" s="120">
        <v>20</v>
      </c>
      <c r="V697" s="120">
        <v>-9999</v>
      </c>
      <c r="W697" s="120">
        <v>-9999</v>
      </c>
      <c r="X697" s="120">
        <v>-9999</v>
      </c>
      <c r="Y697" s="120">
        <v>-9999</v>
      </c>
      <c r="Z697" s="120">
        <v>-9999</v>
      </c>
      <c r="AA697" s="120">
        <v>68</v>
      </c>
      <c r="AB697" s="120">
        <v>14.5</v>
      </c>
      <c r="AC697" s="120">
        <v>696</v>
      </c>
      <c r="AD697" s="120">
        <v>1968</v>
      </c>
      <c r="AE697" s="120">
        <v>-9999</v>
      </c>
      <c r="AF697" s="120">
        <v>-9999</v>
      </c>
      <c r="AG697" s="120">
        <v>-9999</v>
      </c>
    </row>
    <row r="698" spans="1:33" x14ac:dyDescent="0.25">
      <c r="A698" s="120">
        <v>697</v>
      </c>
      <c r="B698" s="120" t="b">
        <v>0</v>
      </c>
      <c r="C698" s="120">
        <v>0</v>
      </c>
      <c r="D698" s="61">
        <v>2</v>
      </c>
      <c r="E698" s="120">
        <v>1</v>
      </c>
      <c r="F698" s="120" t="s">
        <v>178</v>
      </c>
      <c r="G698" s="55">
        <v>150</v>
      </c>
      <c r="H698" s="120">
        <v>495</v>
      </c>
      <c r="I698" s="57">
        <v>200</v>
      </c>
      <c r="J698" s="120">
        <v>200</v>
      </c>
      <c r="K698" s="120">
        <v>2</v>
      </c>
      <c r="L698" s="120">
        <v>50</v>
      </c>
      <c r="M698" s="120">
        <v>15</v>
      </c>
      <c r="N698" s="120">
        <v>40</v>
      </c>
      <c r="O698" s="120">
        <v>2</v>
      </c>
      <c r="P698" s="120">
        <v>20</v>
      </c>
      <c r="Q698" s="120">
        <v>165</v>
      </c>
      <c r="R698" s="120">
        <v>132.39999389648401</v>
      </c>
      <c r="S698" s="148">
        <v>26.700000762939499</v>
      </c>
      <c r="T698" s="120">
        <v>65</v>
      </c>
      <c r="U698" s="120">
        <v>20</v>
      </c>
      <c r="V698" s="120">
        <v>-9999</v>
      </c>
      <c r="W698" s="120">
        <v>-9999</v>
      </c>
      <c r="X698" s="120">
        <v>-9999</v>
      </c>
      <c r="Y698" s="120">
        <v>-9999</v>
      </c>
      <c r="Z698" s="120">
        <v>-9999</v>
      </c>
      <c r="AA698" s="120">
        <v>68</v>
      </c>
      <c r="AB698" s="120">
        <v>14.5</v>
      </c>
      <c r="AC698" s="120">
        <v>697</v>
      </c>
      <c r="AD698" s="120">
        <v>1969</v>
      </c>
      <c r="AE698" s="120">
        <v>-9999</v>
      </c>
      <c r="AF698" s="120">
        <v>-9999</v>
      </c>
      <c r="AG698" s="120">
        <v>-9999</v>
      </c>
    </row>
    <row r="699" spans="1:33" x14ac:dyDescent="0.25">
      <c r="A699" s="120">
        <v>698</v>
      </c>
      <c r="B699" s="120" t="b">
        <v>0</v>
      </c>
      <c r="C699" s="120">
        <v>0</v>
      </c>
      <c r="D699" s="61">
        <v>2</v>
      </c>
      <c r="E699" s="120">
        <v>1</v>
      </c>
      <c r="F699" s="120" t="s">
        <v>178</v>
      </c>
      <c r="G699" s="55">
        <v>150</v>
      </c>
      <c r="H699" s="120">
        <v>495</v>
      </c>
      <c r="I699" s="57">
        <v>200</v>
      </c>
      <c r="J699" s="120">
        <v>200</v>
      </c>
      <c r="K699" s="120">
        <v>3</v>
      </c>
      <c r="L699" s="120">
        <v>40</v>
      </c>
      <c r="M699" s="120">
        <v>15</v>
      </c>
      <c r="N699" s="120">
        <v>40</v>
      </c>
      <c r="O699" s="120">
        <v>2</v>
      </c>
      <c r="P699" s="120">
        <v>16.666999816894499</v>
      </c>
      <c r="Q699" s="120">
        <v>165</v>
      </c>
      <c r="R699" s="120">
        <v>132.39999389648401</v>
      </c>
      <c r="S699" s="148">
        <v>26.700000762939499</v>
      </c>
      <c r="T699" s="120">
        <v>57</v>
      </c>
      <c r="U699" s="120">
        <v>20</v>
      </c>
      <c r="V699" s="120">
        <v>-9999</v>
      </c>
      <c r="W699" s="120">
        <v>-9999</v>
      </c>
      <c r="X699" s="120">
        <v>-9999</v>
      </c>
      <c r="Y699" s="120">
        <v>-9999</v>
      </c>
      <c r="Z699" s="120">
        <v>-9999</v>
      </c>
      <c r="AA699" s="120">
        <v>68</v>
      </c>
      <c r="AB699" s="120">
        <v>14.5</v>
      </c>
      <c r="AC699" s="120">
        <v>698</v>
      </c>
      <c r="AD699" s="120">
        <v>1970</v>
      </c>
      <c r="AE699" s="120">
        <v>-9999</v>
      </c>
      <c r="AF699" s="120">
        <v>-9999</v>
      </c>
      <c r="AG699" s="120">
        <v>-9999</v>
      </c>
    </row>
    <row r="700" spans="1:33" x14ac:dyDescent="0.25">
      <c r="A700" s="120">
        <v>699</v>
      </c>
      <c r="B700" s="120" t="b">
        <v>0</v>
      </c>
      <c r="C700" s="120">
        <v>0</v>
      </c>
      <c r="D700" s="61">
        <v>2</v>
      </c>
      <c r="E700" s="120">
        <v>1</v>
      </c>
      <c r="F700" s="120" t="s">
        <v>178</v>
      </c>
      <c r="G700" s="55">
        <v>150</v>
      </c>
      <c r="H700" s="120">
        <v>473</v>
      </c>
      <c r="I700" s="57">
        <v>200</v>
      </c>
      <c r="J700" s="120">
        <v>210</v>
      </c>
      <c r="K700" s="120">
        <v>4</v>
      </c>
      <c r="L700" s="120">
        <v>100</v>
      </c>
      <c r="M700" s="120">
        <v>15</v>
      </c>
      <c r="N700" s="120">
        <v>40</v>
      </c>
      <c r="O700" s="120">
        <v>2</v>
      </c>
      <c r="P700" s="120">
        <v>-9999</v>
      </c>
      <c r="Q700" s="120">
        <v>157.5</v>
      </c>
      <c r="R700" s="120">
        <v>126.300003051758</v>
      </c>
      <c r="S700" s="148">
        <v>26.700000762939499</v>
      </c>
      <c r="T700" s="120">
        <v>-9999</v>
      </c>
      <c r="U700" s="120">
        <v>20</v>
      </c>
      <c r="V700" s="120">
        <v>-9999</v>
      </c>
      <c r="W700" s="120">
        <v>-9999</v>
      </c>
      <c r="X700" s="120">
        <v>-9999</v>
      </c>
      <c r="Y700" s="120">
        <v>-9999</v>
      </c>
      <c r="Z700" s="120">
        <v>-9999</v>
      </c>
      <c r="AA700" s="120">
        <v>68</v>
      </c>
      <c r="AB700" s="120">
        <v>14.5</v>
      </c>
      <c r="AC700" s="120">
        <v>699</v>
      </c>
      <c r="AD700" s="120">
        <v>1971</v>
      </c>
      <c r="AE700" s="120">
        <v>-9999</v>
      </c>
      <c r="AF700" s="120">
        <v>-9999</v>
      </c>
      <c r="AG700" s="120">
        <v>-9999</v>
      </c>
    </row>
    <row r="701" spans="1:33" x14ac:dyDescent="0.25">
      <c r="A701" s="120">
        <v>700</v>
      </c>
      <c r="B701" s="120" t="b">
        <v>0</v>
      </c>
      <c r="C701" s="120">
        <v>0</v>
      </c>
      <c r="D701" s="61">
        <v>2</v>
      </c>
      <c r="E701" s="120">
        <v>1</v>
      </c>
      <c r="F701" s="120" t="s">
        <v>178</v>
      </c>
      <c r="G701" s="55">
        <v>150</v>
      </c>
      <c r="H701" s="120">
        <v>473</v>
      </c>
      <c r="I701" s="57">
        <v>200</v>
      </c>
      <c r="J701" s="120">
        <v>210</v>
      </c>
      <c r="K701" s="120">
        <v>11</v>
      </c>
      <c r="L701" s="120">
        <v>60</v>
      </c>
      <c r="M701" s="120">
        <v>15</v>
      </c>
      <c r="N701" s="120">
        <v>40</v>
      </c>
      <c r="O701" s="120">
        <v>2</v>
      </c>
      <c r="P701" s="120">
        <v>25</v>
      </c>
      <c r="Q701" s="120">
        <v>157.5</v>
      </c>
      <c r="R701" s="120">
        <v>126.300003051758</v>
      </c>
      <c r="S701" s="148">
        <v>26.700000762939499</v>
      </c>
      <c r="T701" s="120">
        <v>70</v>
      </c>
      <c r="U701" s="120">
        <v>20</v>
      </c>
      <c r="V701" s="120">
        <v>-9999</v>
      </c>
      <c r="W701" s="120">
        <v>-9999</v>
      </c>
      <c r="X701" s="120">
        <v>-9999</v>
      </c>
      <c r="Y701" s="120">
        <v>-9999</v>
      </c>
      <c r="Z701" s="120">
        <v>-9999</v>
      </c>
      <c r="AA701" s="120">
        <v>68</v>
      </c>
      <c r="AB701" s="120">
        <v>14.5</v>
      </c>
      <c r="AC701" s="120">
        <v>700</v>
      </c>
      <c r="AD701" s="120">
        <v>1972</v>
      </c>
      <c r="AE701" s="120">
        <v>-9999</v>
      </c>
      <c r="AF701" s="120">
        <v>-9999</v>
      </c>
      <c r="AG701" s="120">
        <v>-9999</v>
      </c>
    </row>
    <row r="702" spans="1:33" x14ac:dyDescent="0.25">
      <c r="A702" s="120">
        <v>701</v>
      </c>
      <c r="B702" s="120" t="b">
        <v>0</v>
      </c>
      <c r="C702" s="120">
        <v>0</v>
      </c>
      <c r="D702" s="61">
        <v>2</v>
      </c>
      <c r="E702" s="120">
        <v>1</v>
      </c>
      <c r="F702" s="120" t="s">
        <v>179</v>
      </c>
      <c r="G702" s="55">
        <v>200</v>
      </c>
      <c r="H702" s="120">
        <v>1048</v>
      </c>
      <c r="I702" s="57">
        <v>100</v>
      </c>
      <c r="J702" s="120">
        <v>110</v>
      </c>
      <c r="K702" s="120">
        <v>1</v>
      </c>
      <c r="L702" s="120">
        <v>50</v>
      </c>
      <c r="M702" s="120">
        <v>15</v>
      </c>
      <c r="N702" s="120">
        <v>40</v>
      </c>
      <c r="O702" s="120">
        <v>2</v>
      </c>
      <c r="P702" s="120">
        <v>5</v>
      </c>
      <c r="Q702" s="120">
        <v>210</v>
      </c>
      <c r="R702" s="120">
        <v>166.5</v>
      </c>
      <c r="S702" s="148">
        <v>15.8999996185303</v>
      </c>
      <c r="T702" s="120">
        <v>65</v>
      </c>
      <c r="U702" s="120">
        <v>20</v>
      </c>
      <c r="V702" s="120">
        <v>-9999</v>
      </c>
      <c r="W702" s="120">
        <v>-9999</v>
      </c>
      <c r="X702" s="120">
        <v>-9999</v>
      </c>
      <c r="Y702" s="120">
        <v>-9999</v>
      </c>
      <c r="Z702" s="120">
        <v>-9999</v>
      </c>
      <c r="AA702" s="120">
        <v>68</v>
      </c>
      <c r="AB702" s="120">
        <v>14.5</v>
      </c>
      <c r="AC702" s="120">
        <v>701</v>
      </c>
      <c r="AD702" s="120">
        <v>1973</v>
      </c>
      <c r="AE702" s="120">
        <v>-9999</v>
      </c>
      <c r="AF702" s="120">
        <v>-9999</v>
      </c>
      <c r="AG702" s="120">
        <v>-9999</v>
      </c>
    </row>
    <row r="703" spans="1:33" x14ac:dyDescent="0.25">
      <c r="A703" s="120">
        <v>702</v>
      </c>
      <c r="B703" s="120" t="b">
        <v>0</v>
      </c>
      <c r="C703" s="120">
        <v>0</v>
      </c>
      <c r="D703" s="61">
        <v>2</v>
      </c>
      <c r="E703" s="120">
        <v>1</v>
      </c>
      <c r="F703" s="120" t="s">
        <v>179</v>
      </c>
      <c r="G703" s="55">
        <v>200</v>
      </c>
      <c r="H703" s="120">
        <v>1098</v>
      </c>
      <c r="I703" s="57">
        <v>100</v>
      </c>
      <c r="J703" s="120">
        <v>100</v>
      </c>
      <c r="K703" s="120">
        <v>2</v>
      </c>
      <c r="L703" s="120">
        <v>50</v>
      </c>
      <c r="M703" s="120">
        <v>15</v>
      </c>
      <c r="N703" s="120">
        <v>40</v>
      </c>
      <c r="O703" s="120">
        <v>2</v>
      </c>
      <c r="P703" s="120">
        <v>20</v>
      </c>
      <c r="Q703" s="120">
        <v>220</v>
      </c>
      <c r="R703" s="120">
        <v>174.39999389648401</v>
      </c>
      <c r="S703" s="148">
        <v>15.8999996185303</v>
      </c>
      <c r="T703" s="120">
        <v>65</v>
      </c>
      <c r="U703" s="120">
        <v>20</v>
      </c>
      <c r="V703" s="120">
        <v>-9999</v>
      </c>
      <c r="W703" s="120">
        <v>-9999</v>
      </c>
      <c r="X703" s="120">
        <v>-9999</v>
      </c>
      <c r="Y703" s="120">
        <v>-9999</v>
      </c>
      <c r="Z703" s="120">
        <v>-9999</v>
      </c>
      <c r="AA703" s="120">
        <v>68</v>
      </c>
      <c r="AB703" s="120">
        <v>14.5</v>
      </c>
      <c r="AC703" s="120">
        <v>702</v>
      </c>
      <c r="AD703" s="120">
        <v>1974</v>
      </c>
      <c r="AE703" s="120">
        <v>-9999</v>
      </c>
      <c r="AF703" s="120">
        <v>-9999</v>
      </c>
      <c r="AG703" s="120">
        <v>-9999</v>
      </c>
    </row>
    <row r="704" spans="1:33" x14ac:dyDescent="0.25">
      <c r="A704" s="120">
        <v>703</v>
      </c>
      <c r="B704" s="120" t="b">
        <v>0</v>
      </c>
      <c r="C704" s="120">
        <v>0</v>
      </c>
      <c r="D704" s="61">
        <v>2</v>
      </c>
      <c r="E704" s="120">
        <v>1</v>
      </c>
      <c r="F704" s="120" t="s">
        <v>179</v>
      </c>
      <c r="G704" s="55">
        <v>200</v>
      </c>
      <c r="H704" s="120">
        <v>1098</v>
      </c>
      <c r="I704" s="57">
        <v>100</v>
      </c>
      <c r="J704" s="120">
        <v>100</v>
      </c>
      <c r="K704" s="120">
        <v>3</v>
      </c>
      <c r="L704" s="120">
        <v>40</v>
      </c>
      <c r="M704" s="120">
        <v>15</v>
      </c>
      <c r="N704" s="120">
        <v>40</v>
      </c>
      <c r="O704" s="120">
        <v>2</v>
      </c>
      <c r="P704" s="120">
        <v>16.666999816894499</v>
      </c>
      <c r="Q704" s="120">
        <v>220</v>
      </c>
      <c r="R704" s="120">
        <v>174.39999389648401</v>
      </c>
      <c r="S704" s="148">
        <v>15.8999996185303</v>
      </c>
      <c r="T704" s="120">
        <v>57</v>
      </c>
      <c r="U704" s="120">
        <v>20</v>
      </c>
      <c r="V704" s="120">
        <v>-9999</v>
      </c>
      <c r="W704" s="120">
        <v>-9999</v>
      </c>
      <c r="X704" s="120">
        <v>-9999</v>
      </c>
      <c r="Y704" s="120">
        <v>-9999</v>
      </c>
      <c r="Z704" s="120">
        <v>-9999</v>
      </c>
      <c r="AA704" s="120">
        <v>68</v>
      </c>
      <c r="AB704" s="120">
        <v>14.5</v>
      </c>
      <c r="AC704" s="120">
        <v>703</v>
      </c>
      <c r="AD704" s="120">
        <v>1975</v>
      </c>
      <c r="AE704" s="120">
        <v>-9999</v>
      </c>
      <c r="AF704" s="120">
        <v>-9999</v>
      </c>
      <c r="AG704" s="120">
        <v>-9999</v>
      </c>
    </row>
    <row r="705" spans="1:33" x14ac:dyDescent="0.25">
      <c r="A705" s="120">
        <v>704</v>
      </c>
      <c r="B705" s="120" t="b">
        <v>0</v>
      </c>
      <c r="C705" s="120">
        <v>0</v>
      </c>
      <c r="D705" s="61">
        <v>2</v>
      </c>
      <c r="E705" s="120">
        <v>1</v>
      </c>
      <c r="F705" s="120" t="s">
        <v>179</v>
      </c>
      <c r="G705" s="55">
        <v>200</v>
      </c>
      <c r="H705" s="120">
        <v>1048</v>
      </c>
      <c r="I705" s="57">
        <v>100</v>
      </c>
      <c r="J705" s="120">
        <v>110</v>
      </c>
      <c r="K705" s="120">
        <v>4</v>
      </c>
      <c r="L705" s="120">
        <v>100</v>
      </c>
      <c r="M705" s="120">
        <v>15</v>
      </c>
      <c r="N705" s="120">
        <v>40</v>
      </c>
      <c r="O705" s="120">
        <v>2</v>
      </c>
      <c r="P705" s="120">
        <v>-9999</v>
      </c>
      <c r="Q705" s="120">
        <v>210</v>
      </c>
      <c r="R705" s="120">
        <v>166.5</v>
      </c>
      <c r="S705" s="148">
        <v>15.8999996185303</v>
      </c>
      <c r="T705" s="120">
        <v>-9999</v>
      </c>
      <c r="U705" s="120">
        <v>20</v>
      </c>
      <c r="V705" s="120">
        <v>-9999</v>
      </c>
      <c r="W705" s="120">
        <v>-9999</v>
      </c>
      <c r="X705" s="120">
        <v>-9999</v>
      </c>
      <c r="Y705" s="120">
        <v>-9999</v>
      </c>
      <c r="Z705" s="120">
        <v>-9999</v>
      </c>
      <c r="AA705" s="120">
        <v>68</v>
      </c>
      <c r="AB705" s="120">
        <v>14.5</v>
      </c>
      <c r="AC705" s="120">
        <v>704</v>
      </c>
      <c r="AD705" s="120">
        <v>1976</v>
      </c>
      <c r="AE705" s="120">
        <v>-9999</v>
      </c>
      <c r="AF705" s="120">
        <v>-9999</v>
      </c>
      <c r="AG705" s="120">
        <v>-9999</v>
      </c>
    </row>
    <row r="706" spans="1:33" x14ac:dyDescent="0.25">
      <c r="A706" s="120">
        <v>705</v>
      </c>
      <c r="B706" s="120" t="b">
        <v>0</v>
      </c>
      <c r="C706" s="120">
        <v>0</v>
      </c>
      <c r="D706" s="61">
        <v>2</v>
      </c>
      <c r="E706" s="120">
        <v>1</v>
      </c>
      <c r="F706" s="120" t="s">
        <v>179</v>
      </c>
      <c r="G706" s="55">
        <v>200</v>
      </c>
      <c r="H706" s="120">
        <v>1048</v>
      </c>
      <c r="I706" s="57">
        <v>100</v>
      </c>
      <c r="J706" s="120">
        <v>110</v>
      </c>
      <c r="K706" s="120">
        <v>11</v>
      </c>
      <c r="L706" s="120">
        <v>60</v>
      </c>
      <c r="M706" s="120">
        <v>15</v>
      </c>
      <c r="N706" s="120">
        <v>40</v>
      </c>
      <c r="O706" s="120">
        <v>2</v>
      </c>
      <c r="P706" s="120">
        <v>25</v>
      </c>
      <c r="Q706" s="120">
        <v>210</v>
      </c>
      <c r="R706" s="120">
        <v>166.5</v>
      </c>
      <c r="S706" s="148">
        <v>15.8999996185303</v>
      </c>
      <c r="T706" s="120">
        <v>70</v>
      </c>
      <c r="U706" s="120">
        <v>20</v>
      </c>
      <c r="V706" s="120">
        <v>-9999</v>
      </c>
      <c r="W706" s="120">
        <v>-9999</v>
      </c>
      <c r="X706" s="120">
        <v>-9999</v>
      </c>
      <c r="Y706" s="120">
        <v>-9999</v>
      </c>
      <c r="Z706" s="120">
        <v>-9999</v>
      </c>
      <c r="AA706" s="120">
        <v>68</v>
      </c>
      <c r="AB706" s="120">
        <v>14.5</v>
      </c>
      <c r="AC706" s="120">
        <v>705</v>
      </c>
      <c r="AD706" s="120">
        <v>1977</v>
      </c>
      <c r="AE706" s="120">
        <v>-9999</v>
      </c>
      <c r="AF706" s="120">
        <v>-9999</v>
      </c>
      <c r="AG706" s="120">
        <v>-9999</v>
      </c>
    </row>
    <row r="707" spans="1:33" x14ac:dyDescent="0.25">
      <c r="A707" s="120">
        <v>706</v>
      </c>
      <c r="B707" s="120" t="b">
        <v>0</v>
      </c>
      <c r="C707" s="120">
        <v>0</v>
      </c>
      <c r="D707" s="61">
        <v>2</v>
      </c>
      <c r="E707" s="120">
        <v>1</v>
      </c>
      <c r="F707" s="120" t="s">
        <v>179</v>
      </c>
      <c r="G707" s="55">
        <v>200</v>
      </c>
      <c r="H707" s="120">
        <v>947</v>
      </c>
      <c r="I707" s="57">
        <v>115</v>
      </c>
      <c r="J707" s="120">
        <v>125</v>
      </c>
      <c r="K707" s="120">
        <v>1</v>
      </c>
      <c r="L707" s="120">
        <v>50</v>
      </c>
      <c r="M707" s="120">
        <v>15</v>
      </c>
      <c r="N707" s="120">
        <v>40</v>
      </c>
      <c r="O707" s="120">
        <v>2</v>
      </c>
      <c r="P707" s="120">
        <v>5</v>
      </c>
      <c r="Q707" s="120">
        <v>210</v>
      </c>
      <c r="R707" s="120">
        <v>166.5</v>
      </c>
      <c r="S707" s="148">
        <v>17.600000381469702</v>
      </c>
      <c r="T707" s="120">
        <v>65</v>
      </c>
      <c r="U707" s="120">
        <v>20</v>
      </c>
      <c r="V707" s="120">
        <v>-9999</v>
      </c>
      <c r="W707" s="120">
        <v>-9999</v>
      </c>
      <c r="X707" s="120">
        <v>-9999</v>
      </c>
      <c r="Y707" s="120">
        <v>-9999</v>
      </c>
      <c r="Z707" s="120">
        <v>-9999</v>
      </c>
      <c r="AA707" s="120">
        <v>68</v>
      </c>
      <c r="AB707" s="120">
        <v>14.5</v>
      </c>
      <c r="AC707" s="120">
        <v>706</v>
      </c>
      <c r="AD707" s="120">
        <v>1978</v>
      </c>
      <c r="AE707" s="120">
        <v>-9999</v>
      </c>
      <c r="AF707" s="120">
        <v>-9999</v>
      </c>
      <c r="AG707" s="120">
        <v>-9999</v>
      </c>
    </row>
    <row r="708" spans="1:33" x14ac:dyDescent="0.25">
      <c r="A708" s="120">
        <v>707</v>
      </c>
      <c r="B708" s="120" t="b">
        <v>0</v>
      </c>
      <c r="C708" s="120">
        <v>0</v>
      </c>
      <c r="D708" s="61">
        <v>2</v>
      </c>
      <c r="E708" s="120">
        <v>1</v>
      </c>
      <c r="F708" s="120" t="s">
        <v>179</v>
      </c>
      <c r="G708" s="55">
        <v>200</v>
      </c>
      <c r="H708" s="120">
        <v>992</v>
      </c>
      <c r="I708" s="57">
        <v>115</v>
      </c>
      <c r="J708" s="120">
        <v>115</v>
      </c>
      <c r="K708" s="120">
        <v>2</v>
      </c>
      <c r="L708" s="120">
        <v>50</v>
      </c>
      <c r="M708" s="120">
        <v>15</v>
      </c>
      <c r="N708" s="120">
        <v>40</v>
      </c>
      <c r="O708" s="120">
        <v>2</v>
      </c>
      <c r="P708" s="120">
        <v>20</v>
      </c>
      <c r="Q708" s="120">
        <v>220</v>
      </c>
      <c r="R708" s="120">
        <v>174.39999389648401</v>
      </c>
      <c r="S708" s="148">
        <v>17.600000381469702</v>
      </c>
      <c r="T708" s="120">
        <v>65</v>
      </c>
      <c r="U708" s="120">
        <v>20</v>
      </c>
      <c r="V708" s="120">
        <v>-9999</v>
      </c>
      <c r="W708" s="120">
        <v>-9999</v>
      </c>
      <c r="X708" s="120">
        <v>-9999</v>
      </c>
      <c r="Y708" s="120">
        <v>-9999</v>
      </c>
      <c r="Z708" s="120">
        <v>-9999</v>
      </c>
      <c r="AA708" s="120">
        <v>68</v>
      </c>
      <c r="AB708" s="120">
        <v>14.5</v>
      </c>
      <c r="AC708" s="120">
        <v>707</v>
      </c>
      <c r="AD708" s="120">
        <v>1979</v>
      </c>
      <c r="AE708" s="120">
        <v>-9999</v>
      </c>
      <c r="AF708" s="120">
        <v>-9999</v>
      </c>
      <c r="AG708" s="120">
        <v>-9999</v>
      </c>
    </row>
    <row r="709" spans="1:33" x14ac:dyDescent="0.25">
      <c r="A709" s="120">
        <v>708</v>
      </c>
      <c r="B709" s="120" t="b">
        <v>0</v>
      </c>
      <c r="C709" s="120">
        <v>0</v>
      </c>
      <c r="D709" s="61">
        <v>2</v>
      </c>
      <c r="E709" s="120">
        <v>1</v>
      </c>
      <c r="F709" s="120" t="s">
        <v>179</v>
      </c>
      <c r="G709" s="55">
        <v>200</v>
      </c>
      <c r="H709" s="120">
        <v>992</v>
      </c>
      <c r="I709" s="57">
        <v>115</v>
      </c>
      <c r="J709" s="120">
        <v>115</v>
      </c>
      <c r="K709" s="120">
        <v>3</v>
      </c>
      <c r="L709" s="120">
        <v>40</v>
      </c>
      <c r="M709" s="120">
        <v>15</v>
      </c>
      <c r="N709" s="120">
        <v>40</v>
      </c>
      <c r="O709" s="120">
        <v>2</v>
      </c>
      <c r="P709" s="120">
        <v>16.666999816894499</v>
      </c>
      <c r="Q709" s="120">
        <v>220</v>
      </c>
      <c r="R709" s="120">
        <v>174.39999389648401</v>
      </c>
      <c r="S709" s="148">
        <v>17.600000381469702</v>
      </c>
      <c r="T709" s="120">
        <v>57</v>
      </c>
      <c r="U709" s="120">
        <v>20</v>
      </c>
      <c r="V709" s="120">
        <v>-9999</v>
      </c>
      <c r="W709" s="120">
        <v>-9999</v>
      </c>
      <c r="X709" s="120">
        <v>-9999</v>
      </c>
      <c r="Y709" s="120">
        <v>-9999</v>
      </c>
      <c r="Z709" s="120">
        <v>-9999</v>
      </c>
      <c r="AA709" s="120">
        <v>68</v>
      </c>
      <c r="AB709" s="120">
        <v>14.5</v>
      </c>
      <c r="AC709" s="120">
        <v>708</v>
      </c>
      <c r="AD709" s="120">
        <v>1980</v>
      </c>
      <c r="AE709" s="120">
        <v>-9999</v>
      </c>
      <c r="AF709" s="120">
        <v>-9999</v>
      </c>
      <c r="AG709" s="120">
        <v>-9999</v>
      </c>
    </row>
    <row r="710" spans="1:33" x14ac:dyDescent="0.25">
      <c r="A710" s="120">
        <v>709</v>
      </c>
      <c r="B710" s="120" t="b">
        <v>0</v>
      </c>
      <c r="C710" s="120">
        <v>0</v>
      </c>
      <c r="D710" s="61">
        <v>2</v>
      </c>
      <c r="E710" s="120">
        <v>1</v>
      </c>
      <c r="F710" s="120" t="s">
        <v>179</v>
      </c>
      <c r="G710" s="55">
        <v>200</v>
      </c>
      <c r="H710" s="120">
        <v>947</v>
      </c>
      <c r="I710" s="57">
        <v>115</v>
      </c>
      <c r="J710" s="120">
        <v>125</v>
      </c>
      <c r="K710" s="120">
        <v>4</v>
      </c>
      <c r="L710" s="120">
        <v>100</v>
      </c>
      <c r="M710" s="120">
        <v>15</v>
      </c>
      <c r="N710" s="120">
        <v>40</v>
      </c>
      <c r="O710" s="120">
        <v>2</v>
      </c>
      <c r="P710" s="120">
        <v>-9999</v>
      </c>
      <c r="Q710" s="120">
        <v>210</v>
      </c>
      <c r="R710" s="120">
        <v>166.5</v>
      </c>
      <c r="S710" s="148">
        <v>17.600000381469702</v>
      </c>
      <c r="T710" s="120">
        <v>-9999</v>
      </c>
      <c r="U710" s="120">
        <v>20</v>
      </c>
      <c r="V710" s="120">
        <v>-9999</v>
      </c>
      <c r="W710" s="120">
        <v>-9999</v>
      </c>
      <c r="X710" s="120">
        <v>-9999</v>
      </c>
      <c r="Y710" s="120">
        <v>-9999</v>
      </c>
      <c r="Z710" s="120">
        <v>-9999</v>
      </c>
      <c r="AA710" s="120">
        <v>68</v>
      </c>
      <c r="AB710" s="120">
        <v>14.5</v>
      </c>
      <c r="AC710" s="120">
        <v>709</v>
      </c>
      <c r="AD710" s="120">
        <v>1981</v>
      </c>
      <c r="AE710" s="120">
        <v>-9999</v>
      </c>
      <c r="AF710" s="120">
        <v>-9999</v>
      </c>
      <c r="AG710" s="120">
        <v>-9999</v>
      </c>
    </row>
    <row r="711" spans="1:33" x14ac:dyDescent="0.25">
      <c r="A711" s="120">
        <v>710</v>
      </c>
      <c r="B711" s="120" t="b">
        <v>0</v>
      </c>
      <c r="C711" s="120">
        <v>0</v>
      </c>
      <c r="D711" s="61">
        <v>2</v>
      </c>
      <c r="E711" s="120">
        <v>1</v>
      </c>
      <c r="F711" s="120" t="s">
        <v>179</v>
      </c>
      <c r="G711" s="55">
        <v>200</v>
      </c>
      <c r="H711" s="120">
        <v>947</v>
      </c>
      <c r="I711" s="57">
        <v>115</v>
      </c>
      <c r="J711" s="120">
        <v>125</v>
      </c>
      <c r="K711" s="120">
        <v>11</v>
      </c>
      <c r="L711" s="120">
        <v>60</v>
      </c>
      <c r="M711" s="120">
        <v>15</v>
      </c>
      <c r="N711" s="120">
        <v>40</v>
      </c>
      <c r="O711" s="120">
        <v>2</v>
      </c>
      <c r="P711" s="120">
        <v>25</v>
      </c>
      <c r="Q711" s="120">
        <v>210</v>
      </c>
      <c r="R711" s="120">
        <v>166.5</v>
      </c>
      <c r="S711" s="148">
        <v>17.600000381469702</v>
      </c>
      <c r="T711" s="120">
        <v>70</v>
      </c>
      <c r="U711" s="120">
        <v>20</v>
      </c>
      <c r="V711" s="120">
        <v>-9999</v>
      </c>
      <c r="W711" s="120">
        <v>-9999</v>
      </c>
      <c r="X711" s="120">
        <v>-9999</v>
      </c>
      <c r="Y711" s="120">
        <v>-9999</v>
      </c>
      <c r="Z711" s="120">
        <v>-9999</v>
      </c>
      <c r="AA711" s="120">
        <v>68</v>
      </c>
      <c r="AB711" s="120">
        <v>14.5</v>
      </c>
      <c r="AC711" s="120">
        <v>710</v>
      </c>
      <c r="AD711" s="120">
        <v>1982</v>
      </c>
      <c r="AE711" s="120">
        <v>-9999</v>
      </c>
      <c r="AF711" s="120">
        <v>-9999</v>
      </c>
      <c r="AG711" s="120">
        <v>-9999</v>
      </c>
    </row>
    <row r="712" spans="1:33" x14ac:dyDescent="0.25">
      <c r="A712" s="120">
        <v>711</v>
      </c>
      <c r="B712" s="120" t="b">
        <v>0</v>
      </c>
      <c r="C712" s="120">
        <v>0</v>
      </c>
      <c r="D712" s="61">
        <v>2</v>
      </c>
      <c r="E712" s="120">
        <v>1</v>
      </c>
      <c r="F712" s="120" t="s">
        <v>179</v>
      </c>
      <c r="G712" s="55">
        <v>200</v>
      </c>
      <c r="H712" s="120">
        <v>945</v>
      </c>
      <c r="I712" s="57">
        <v>125</v>
      </c>
      <c r="J712" s="120">
        <v>135</v>
      </c>
      <c r="K712" s="120">
        <v>1</v>
      </c>
      <c r="L712" s="120">
        <v>50</v>
      </c>
      <c r="M712" s="120">
        <v>15</v>
      </c>
      <c r="N712" s="120">
        <v>40</v>
      </c>
      <c r="O712" s="120">
        <v>2</v>
      </c>
      <c r="P712" s="120">
        <v>5</v>
      </c>
      <c r="Q712" s="120">
        <v>210</v>
      </c>
      <c r="R712" s="120">
        <v>166.5</v>
      </c>
      <c r="S712" s="148">
        <v>17.600000381469702</v>
      </c>
      <c r="T712" s="120">
        <v>65</v>
      </c>
      <c r="U712" s="120">
        <v>20</v>
      </c>
      <c r="V712" s="120">
        <v>-9999</v>
      </c>
      <c r="W712" s="120">
        <v>-9999</v>
      </c>
      <c r="X712" s="120">
        <v>-9999</v>
      </c>
      <c r="Y712" s="120">
        <v>-9999</v>
      </c>
      <c r="Z712" s="120">
        <v>-9999</v>
      </c>
      <c r="AA712" s="120">
        <v>68</v>
      </c>
      <c r="AB712" s="120">
        <v>14.5</v>
      </c>
      <c r="AC712" s="120">
        <v>711</v>
      </c>
      <c r="AD712" s="120">
        <v>1983</v>
      </c>
      <c r="AE712" s="120">
        <v>-9999</v>
      </c>
      <c r="AF712" s="120">
        <v>-9999</v>
      </c>
      <c r="AG712" s="120">
        <v>-9999</v>
      </c>
    </row>
    <row r="713" spans="1:33" x14ac:dyDescent="0.25">
      <c r="A713" s="120">
        <v>712</v>
      </c>
      <c r="B713" s="120" t="b">
        <v>0</v>
      </c>
      <c r="C713" s="120">
        <v>0</v>
      </c>
      <c r="D713" s="61">
        <v>2</v>
      </c>
      <c r="E713" s="120">
        <v>1</v>
      </c>
      <c r="F713" s="120" t="s">
        <v>179</v>
      </c>
      <c r="G713" s="55">
        <v>200</v>
      </c>
      <c r="H713" s="120">
        <v>990</v>
      </c>
      <c r="I713" s="57">
        <v>125</v>
      </c>
      <c r="J713" s="120">
        <v>125</v>
      </c>
      <c r="K713" s="120">
        <v>2</v>
      </c>
      <c r="L713" s="120">
        <v>50</v>
      </c>
      <c r="M713" s="120">
        <v>15</v>
      </c>
      <c r="N713" s="120">
        <v>40</v>
      </c>
      <c r="O713" s="120">
        <v>2</v>
      </c>
      <c r="P713" s="120">
        <v>20</v>
      </c>
      <c r="Q713" s="120">
        <v>220</v>
      </c>
      <c r="R713" s="120">
        <v>174.39999389648401</v>
      </c>
      <c r="S713" s="148">
        <v>17.600000381469702</v>
      </c>
      <c r="T713" s="120">
        <v>65</v>
      </c>
      <c r="U713" s="120">
        <v>20</v>
      </c>
      <c r="V713" s="120">
        <v>-9999</v>
      </c>
      <c r="W713" s="120">
        <v>-9999</v>
      </c>
      <c r="X713" s="120">
        <v>-9999</v>
      </c>
      <c r="Y713" s="120">
        <v>-9999</v>
      </c>
      <c r="Z713" s="120">
        <v>-9999</v>
      </c>
      <c r="AA713" s="120">
        <v>68</v>
      </c>
      <c r="AB713" s="120">
        <v>14.5</v>
      </c>
      <c r="AC713" s="120">
        <v>712</v>
      </c>
      <c r="AD713" s="120">
        <v>1984</v>
      </c>
      <c r="AE713" s="120">
        <v>-9999</v>
      </c>
      <c r="AF713" s="120">
        <v>-9999</v>
      </c>
      <c r="AG713" s="120">
        <v>-9999</v>
      </c>
    </row>
    <row r="714" spans="1:33" x14ac:dyDescent="0.25">
      <c r="A714" s="120">
        <v>713</v>
      </c>
      <c r="B714" s="120" t="b">
        <v>0</v>
      </c>
      <c r="C714" s="120">
        <v>0</v>
      </c>
      <c r="D714" s="61">
        <v>2</v>
      </c>
      <c r="E714" s="120">
        <v>1</v>
      </c>
      <c r="F714" s="120" t="s">
        <v>179</v>
      </c>
      <c r="G714" s="55">
        <v>200</v>
      </c>
      <c r="H714" s="120">
        <v>990</v>
      </c>
      <c r="I714" s="57">
        <v>125</v>
      </c>
      <c r="J714" s="120">
        <v>125</v>
      </c>
      <c r="K714" s="120">
        <v>3</v>
      </c>
      <c r="L714" s="120">
        <v>40</v>
      </c>
      <c r="M714" s="120">
        <v>15</v>
      </c>
      <c r="N714" s="120">
        <v>40</v>
      </c>
      <c r="O714" s="120">
        <v>2</v>
      </c>
      <c r="P714" s="120">
        <v>16.666999816894499</v>
      </c>
      <c r="Q714" s="120">
        <v>220</v>
      </c>
      <c r="R714" s="120">
        <v>174.39999389648401</v>
      </c>
      <c r="S714" s="148">
        <v>17.600000381469702</v>
      </c>
      <c r="T714" s="120">
        <v>57</v>
      </c>
      <c r="U714" s="120">
        <v>20</v>
      </c>
      <c r="V714" s="120">
        <v>-9999</v>
      </c>
      <c r="W714" s="120">
        <v>-9999</v>
      </c>
      <c r="X714" s="120">
        <v>-9999</v>
      </c>
      <c r="Y714" s="120">
        <v>-9999</v>
      </c>
      <c r="Z714" s="120">
        <v>-9999</v>
      </c>
      <c r="AA714" s="120">
        <v>68</v>
      </c>
      <c r="AB714" s="120">
        <v>14.5</v>
      </c>
      <c r="AC714" s="120">
        <v>713</v>
      </c>
      <c r="AD714" s="120">
        <v>1985</v>
      </c>
      <c r="AE714" s="120">
        <v>-9999</v>
      </c>
      <c r="AF714" s="120">
        <v>-9999</v>
      </c>
      <c r="AG714" s="120">
        <v>-9999</v>
      </c>
    </row>
    <row r="715" spans="1:33" x14ac:dyDescent="0.25">
      <c r="A715" s="120">
        <v>714</v>
      </c>
      <c r="B715" s="120" t="b">
        <v>0</v>
      </c>
      <c r="C715" s="120">
        <v>0</v>
      </c>
      <c r="D715" s="61">
        <v>2</v>
      </c>
      <c r="E715" s="120">
        <v>1</v>
      </c>
      <c r="F715" s="120" t="s">
        <v>179</v>
      </c>
      <c r="G715" s="55">
        <v>200</v>
      </c>
      <c r="H715" s="120">
        <v>945</v>
      </c>
      <c r="I715" s="57">
        <v>125</v>
      </c>
      <c r="J715" s="120">
        <v>135</v>
      </c>
      <c r="K715" s="120">
        <v>4</v>
      </c>
      <c r="L715" s="120">
        <v>100</v>
      </c>
      <c r="M715" s="120">
        <v>15</v>
      </c>
      <c r="N715" s="120">
        <v>40</v>
      </c>
      <c r="O715" s="120">
        <v>2</v>
      </c>
      <c r="P715" s="120">
        <v>-9999</v>
      </c>
      <c r="Q715" s="120">
        <v>210</v>
      </c>
      <c r="R715" s="120">
        <v>166.5</v>
      </c>
      <c r="S715" s="148">
        <v>17.600000381469702</v>
      </c>
      <c r="T715" s="120">
        <v>-9999</v>
      </c>
      <c r="U715" s="120">
        <v>20</v>
      </c>
      <c r="V715" s="120">
        <v>-9999</v>
      </c>
      <c r="W715" s="120">
        <v>-9999</v>
      </c>
      <c r="X715" s="120">
        <v>-9999</v>
      </c>
      <c r="Y715" s="120">
        <v>-9999</v>
      </c>
      <c r="Z715" s="120">
        <v>-9999</v>
      </c>
      <c r="AA715" s="120">
        <v>68</v>
      </c>
      <c r="AB715" s="120">
        <v>14.5</v>
      </c>
      <c r="AC715" s="120">
        <v>714</v>
      </c>
      <c r="AD715" s="120">
        <v>1986</v>
      </c>
      <c r="AE715" s="120">
        <v>-9999</v>
      </c>
      <c r="AF715" s="120">
        <v>-9999</v>
      </c>
      <c r="AG715" s="120">
        <v>-9999</v>
      </c>
    </row>
    <row r="716" spans="1:33" x14ac:dyDescent="0.25">
      <c r="A716" s="120">
        <v>715</v>
      </c>
      <c r="B716" s="120" t="b">
        <v>0</v>
      </c>
      <c r="C716" s="120">
        <v>0</v>
      </c>
      <c r="D716" s="61">
        <v>2</v>
      </c>
      <c r="E716" s="120">
        <v>1</v>
      </c>
      <c r="F716" s="120" t="s">
        <v>179</v>
      </c>
      <c r="G716" s="55">
        <v>200</v>
      </c>
      <c r="H716" s="120">
        <v>945</v>
      </c>
      <c r="I716" s="57">
        <v>125</v>
      </c>
      <c r="J716" s="120">
        <v>135</v>
      </c>
      <c r="K716" s="120">
        <v>11</v>
      </c>
      <c r="L716" s="120">
        <v>60</v>
      </c>
      <c r="M716" s="120">
        <v>15</v>
      </c>
      <c r="N716" s="120">
        <v>40</v>
      </c>
      <c r="O716" s="120">
        <v>2</v>
      </c>
      <c r="P716" s="120">
        <v>25</v>
      </c>
      <c r="Q716" s="120">
        <v>210</v>
      </c>
      <c r="R716" s="120">
        <v>166.5</v>
      </c>
      <c r="S716" s="148">
        <v>17.600000381469702</v>
      </c>
      <c r="T716" s="120">
        <v>70</v>
      </c>
      <c r="U716" s="120">
        <v>20</v>
      </c>
      <c r="V716" s="120">
        <v>-9999</v>
      </c>
      <c r="W716" s="120">
        <v>-9999</v>
      </c>
      <c r="X716" s="120">
        <v>-9999</v>
      </c>
      <c r="Y716" s="120">
        <v>-9999</v>
      </c>
      <c r="Z716" s="120">
        <v>-9999</v>
      </c>
      <c r="AA716" s="120">
        <v>68</v>
      </c>
      <c r="AB716" s="120">
        <v>14.5</v>
      </c>
      <c r="AC716" s="120">
        <v>715</v>
      </c>
      <c r="AD716" s="120">
        <v>1987</v>
      </c>
      <c r="AE716" s="120">
        <v>-9999</v>
      </c>
      <c r="AF716" s="120">
        <v>-9999</v>
      </c>
      <c r="AG716" s="120">
        <v>-9999</v>
      </c>
    </row>
    <row r="717" spans="1:33" x14ac:dyDescent="0.25">
      <c r="A717" s="120">
        <v>716</v>
      </c>
      <c r="B717" s="120" t="b">
        <v>0</v>
      </c>
      <c r="C717" s="120">
        <v>0</v>
      </c>
      <c r="D717" s="61">
        <v>2</v>
      </c>
      <c r="E717" s="120">
        <v>1</v>
      </c>
      <c r="F717" s="120" t="s">
        <v>179</v>
      </c>
      <c r="G717" s="55">
        <v>200</v>
      </c>
      <c r="H717" s="120">
        <v>882</v>
      </c>
      <c r="I717" s="57">
        <v>140</v>
      </c>
      <c r="J717" s="120">
        <v>150</v>
      </c>
      <c r="K717" s="120">
        <v>1</v>
      </c>
      <c r="L717" s="120">
        <v>50</v>
      </c>
      <c r="M717" s="120">
        <v>15</v>
      </c>
      <c r="N717" s="120">
        <v>40</v>
      </c>
      <c r="O717" s="120">
        <v>2</v>
      </c>
      <c r="P717" s="120">
        <v>5</v>
      </c>
      <c r="Q717" s="120">
        <v>210</v>
      </c>
      <c r="R717" s="120">
        <v>166.5</v>
      </c>
      <c r="S717" s="148">
        <v>18.899999618530298</v>
      </c>
      <c r="T717" s="120">
        <v>65</v>
      </c>
      <c r="U717" s="120">
        <v>20</v>
      </c>
      <c r="V717" s="120">
        <v>-9999</v>
      </c>
      <c r="W717" s="120">
        <v>-9999</v>
      </c>
      <c r="X717" s="120">
        <v>-9999</v>
      </c>
      <c r="Y717" s="120">
        <v>-9999</v>
      </c>
      <c r="Z717" s="120">
        <v>-9999</v>
      </c>
      <c r="AA717" s="120">
        <v>68</v>
      </c>
      <c r="AB717" s="120">
        <v>14.5</v>
      </c>
      <c r="AC717" s="120">
        <v>716</v>
      </c>
      <c r="AD717" s="120">
        <v>1988</v>
      </c>
      <c r="AE717" s="120">
        <v>-9999</v>
      </c>
      <c r="AF717" s="120">
        <v>-9999</v>
      </c>
      <c r="AG717" s="120">
        <v>-9999</v>
      </c>
    </row>
    <row r="718" spans="1:33" x14ac:dyDescent="0.25">
      <c r="A718" s="120">
        <v>717</v>
      </c>
      <c r="B718" s="120" t="b">
        <v>0</v>
      </c>
      <c r="C718" s="120">
        <v>0</v>
      </c>
      <c r="D718" s="61">
        <v>2</v>
      </c>
      <c r="E718" s="120">
        <v>1</v>
      </c>
      <c r="F718" s="120" t="s">
        <v>179</v>
      </c>
      <c r="G718" s="55">
        <v>200</v>
      </c>
      <c r="H718" s="120">
        <v>924</v>
      </c>
      <c r="I718" s="57">
        <v>140</v>
      </c>
      <c r="J718" s="120">
        <v>140</v>
      </c>
      <c r="K718" s="120">
        <v>2</v>
      </c>
      <c r="L718" s="120">
        <v>50</v>
      </c>
      <c r="M718" s="120">
        <v>15</v>
      </c>
      <c r="N718" s="120">
        <v>40</v>
      </c>
      <c r="O718" s="120">
        <v>2</v>
      </c>
      <c r="P718" s="120">
        <v>20</v>
      </c>
      <c r="Q718" s="120">
        <v>220</v>
      </c>
      <c r="R718" s="120">
        <v>174.39999389648401</v>
      </c>
      <c r="S718" s="148">
        <v>18.899999618530298</v>
      </c>
      <c r="T718" s="120">
        <v>65</v>
      </c>
      <c r="U718" s="120">
        <v>20</v>
      </c>
      <c r="V718" s="120">
        <v>-9999</v>
      </c>
      <c r="W718" s="120">
        <v>-9999</v>
      </c>
      <c r="X718" s="120">
        <v>-9999</v>
      </c>
      <c r="Y718" s="120">
        <v>-9999</v>
      </c>
      <c r="Z718" s="120">
        <v>-9999</v>
      </c>
      <c r="AA718" s="120">
        <v>68</v>
      </c>
      <c r="AB718" s="120">
        <v>14.5</v>
      </c>
      <c r="AC718" s="120">
        <v>717</v>
      </c>
      <c r="AD718" s="120">
        <v>1989</v>
      </c>
      <c r="AE718" s="120">
        <v>-9999</v>
      </c>
      <c r="AF718" s="120">
        <v>-9999</v>
      </c>
      <c r="AG718" s="120">
        <v>-9999</v>
      </c>
    </row>
    <row r="719" spans="1:33" x14ac:dyDescent="0.25">
      <c r="A719" s="120">
        <v>718</v>
      </c>
      <c r="B719" s="120" t="b">
        <v>0</v>
      </c>
      <c r="C719" s="120">
        <v>0</v>
      </c>
      <c r="D719" s="61">
        <v>2</v>
      </c>
      <c r="E719" s="120">
        <v>1</v>
      </c>
      <c r="F719" s="120" t="s">
        <v>179</v>
      </c>
      <c r="G719" s="55">
        <v>200</v>
      </c>
      <c r="H719" s="120">
        <v>924</v>
      </c>
      <c r="I719" s="57">
        <v>140</v>
      </c>
      <c r="J719" s="120">
        <v>140</v>
      </c>
      <c r="K719" s="120">
        <v>3</v>
      </c>
      <c r="L719" s="120">
        <v>40</v>
      </c>
      <c r="M719" s="120">
        <v>15</v>
      </c>
      <c r="N719" s="120">
        <v>40</v>
      </c>
      <c r="O719" s="120">
        <v>2</v>
      </c>
      <c r="P719" s="120">
        <v>16.666999816894499</v>
      </c>
      <c r="Q719" s="120">
        <v>220</v>
      </c>
      <c r="R719" s="120">
        <v>174.39999389648401</v>
      </c>
      <c r="S719" s="148">
        <v>18.899999618530298</v>
      </c>
      <c r="T719" s="120">
        <v>57</v>
      </c>
      <c r="U719" s="120">
        <v>20</v>
      </c>
      <c r="V719" s="120">
        <v>-9999</v>
      </c>
      <c r="W719" s="120">
        <v>-9999</v>
      </c>
      <c r="X719" s="120">
        <v>-9999</v>
      </c>
      <c r="Y719" s="120">
        <v>-9999</v>
      </c>
      <c r="Z719" s="120">
        <v>-9999</v>
      </c>
      <c r="AA719" s="120">
        <v>68</v>
      </c>
      <c r="AB719" s="120">
        <v>14.5</v>
      </c>
      <c r="AC719" s="120">
        <v>718</v>
      </c>
      <c r="AD719" s="120">
        <v>1990</v>
      </c>
      <c r="AE719" s="120">
        <v>-9999</v>
      </c>
      <c r="AF719" s="120">
        <v>-9999</v>
      </c>
      <c r="AG719" s="120">
        <v>-9999</v>
      </c>
    </row>
    <row r="720" spans="1:33" x14ac:dyDescent="0.25">
      <c r="A720" s="120">
        <v>719</v>
      </c>
      <c r="B720" s="120" t="b">
        <v>0</v>
      </c>
      <c r="C720" s="120">
        <v>0</v>
      </c>
      <c r="D720" s="61">
        <v>2</v>
      </c>
      <c r="E720" s="120">
        <v>1</v>
      </c>
      <c r="F720" s="120" t="s">
        <v>179</v>
      </c>
      <c r="G720" s="55">
        <v>200</v>
      </c>
      <c r="H720" s="120">
        <v>882</v>
      </c>
      <c r="I720" s="57">
        <v>140</v>
      </c>
      <c r="J720" s="120">
        <v>150</v>
      </c>
      <c r="K720" s="120">
        <v>4</v>
      </c>
      <c r="L720" s="120">
        <v>100</v>
      </c>
      <c r="M720" s="120">
        <v>15</v>
      </c>
      <c r="N720" s="120">
        <v>40</v>
      </c>
      <c r="O720" s="120">
        <v>2</v>
      </c>
      <c r="P720" s="120">
        <v>-9999</v>
      </c>
      <c r="Q720" s="120">
        <v>210</v>
      </c>
      <c r="R720" s="120">
        <v>166.5</v>
      </c>
      <c r="S720" s="148">
        <v>18.899999618530298</v>
      </c>
      <c r="T720" s="120">
        <v>-9999</v>
      </c>
      <c r="U720" s="120">
        <v>20</v>
      </c>
      <c r="V720" s="120">
        <v>-9999</v>
      </c>
      <c r="W720" s="120">
        <v>-9999</v>
      </c>
      <c r="X720" s="120">
        <v>-9999</v>
      </c>
      <c r="Y720" s="120">
        <v>-9999</v>
      </c>
      <c r="Z720" s="120">
        <v>-9999</v>
      </c>
      <c r="AA720" s="120">
        <v>68</v>
      </c>
      <c r="AB720" s="120">
        <v>14.5</v>
      </c>
      <c r="AC720" s="120">
        <v>719</v>
      </c>
      <c r="AD720" s="120">
        <v>1991</v>
      </c>
      <c r="AE720" s="120">
        <v>-9999</v>
      </c>
      <c r="AF720" s="120">
        <v>-9999</v>
      </c>
      <c r="AG720" s="120">
        <v>-9999</v>
      </c>
    </row>
    <row r="721" spans="1:33" x14ac:dyDescent="0.25">
      <c r="A721" s="120">
        <v>720</v>
      </c>
      <c r="B721" s="120" t="b">
        <v>0</v>
      </c>
      <c r="C721" s="120">
        <v>0</v>
      </c>
      <c r="D721" s="61">
        <v>2</v>
      </c>
      <c r="E721" s="120">
        <v>1</v>
      </c>
      <c r="F721" s="120" t="s">
        <v>179</v>
      </c>
      <c r="G721" s="55">
        <v>200</v>
      </c>
      <c r="H721" s="120">
        <v>882</v>
      </c>
      <c r="I721" s="57">
        <v>140</v>
      </c>
      <c r="J721" s="120">
        <v>150</v>
      </c>
      <c r="K721" s="120">
        <v>11</v>
      </c>
      <c r="L721" s="120">
        <v>60</v>
      </c>
      <c r="M721" s="120">
        <v>15</v>
      </c>
      <c r="N721" s="120">
        <v>40</v>
      </c>
      <c r="O721" s="120">
        <v>2</v>
      </c>
      <c r="P721" s="120">
        <v>25</v>
      </c>
      <c r="Q721" s="120">
        <v>210</v>
      </c>
      <c r="R721" s="120">
        <v>166.5</v>
      </c>
      <c r="S721" s="148">
        <v>18.899999618530298</v>
      </c>
      <c r="T721" s="120">
        <v>70</v>
      </c>
      <c r="U721" s="120">
        <v>20</v>
      </c>
      <c r="V721" s="120">
        <v>-9999</v>
      </c>
      <c r="W721" s="120">
        <v>-9999</v>
      </c>
      <c r="X721" s="120">
        <v>-9999</v>
      </c>
      <c r="Y721" s="120">
        <v>-9999</v>
      </c>
      <c r="Z721" s="120">
        <v>-9999</v>
      </c>
      <c r="AA721" s="120">
        <v>68</v>
      </c>
      <c r="AB721" s="120">
        <v>14.5</v>
      </c>
      <c r="AC721" s="120">
        <v>720</v>
      </c>
      <c r="AD721" s="120">
        <v>1992</v>
      </c>
      <c r="AE721" s="120">
        <v>-9999</v>
      </c>
      <c r="AF721" s="120">
        <v>-9999</v>
      </c>
      <c r="AG721" s="120">
        <v>-9999</v>
      </c>
    </row>
    <row r="722" spans="1:33" x14ac:dyDescent="0.25">
      <c r="A722" s="120">
        <v>721</v>
      </c>
      <c r="B722" s="120" t="b">
        <v>0</v>
      </c>
      <c r="C722" s="120">
        <v>0</v>
      </c>
      <c r="D722" s="61">
        <v>2</v>
      </c>
      <c r="E722" s="120">
        <v>1</v>
      </c>
      <c r="F722" s="120" t="s">
        <v>179</v>
      </c>
      <c r="G722" s="55">
        <v>200</v>
      </c>
      <c r="H722" s="120">
        <v>630</v>
      </c>
      <c r="I722" s="57">
        <v>200</v>
      </c>
      <c r="J722" s="120">
        <v>210</v>
      </c>
      <c r="K722" s="120">
        <v>1</v>
      </c>
      <c r="L722" s="120">
        <v>50</v>
      </c>
      <c r="M722" s="120">
        <v>15</v>
      </c>
      <c r="N722" s="120">
        <v>40</v>
      </c>
      <c r="O722" s="120">
        <v>2</v>
      </c>
      <c r="P722" s="120">
        <v>5</v>
      </c>
      <c r="Q722" s="120">
        <v>210</v>
      </c>
      <c r="R722" s="120">
        <v>166.5</v>
      </c>
      <c r="S722" s="148">
        <v>26.399999618530298</v>
      </c>
      <c r="T722" s="120">
        <v>65</v>
      </c>
      <c r="U722" s="120">
        <v>20</v>
      </c>
      <c r="V722" s="120">
        <v>-9999</v>
      </c>
      <c r="W722" s="120">
        <v>-9999</v>
      </c>
      <c r="X722" s="120">
        <v>-9999</v>
      </c>
      <c r="Y722" s="120">
        <v>-9999</v>
      </c>
      <c r="Z722" s="120">
        <v>-9999</v>
      </c>
      <c r="AA722" s="120">
        <v>68</v>
      </c>
      <c r="AB722" s="120">
        <v>14.5</v>
      </c>
      <c r="AC722" s="120">
        <v>721</v>
      </c>
      <c r="AD722" s="120">
        <v>1993</v>
      </c>
      <c r="AE722" s="120">
        <v>-9999</v>
      </c>
      <c r="AF722" s="120">
        <v>-9999</v>
      </c>
      <c r="AG722" s="120">
        <v>-9999</v>
      </c>
    </row>
    <row r="723" spans="1:33" x14ac:dyDescent="0.25">
      <c r="A723" s="120">
        <v>722</v>
      </c>
      <c r="B723" s="120" t="b">
        <v>0</v>
      </c>
      <c r="C723" s="120">
        <v>0</v>
      </c>
      <c r="D723" s="61">
        <v>2</v>
      </c>
      <c r="E723" s="120">
        <v>1</v>
      </c>
      <c r="F723" s="120" t="s">
        <v>179</v>
      </c>
      <c r="G723" s="55">
        <v>200</v>
      </c>
      <c r="H723" s="120">
        <v>660</v>
      </c>
      <c r="I723" s="57">
        <v>200</v>
      </c>
      <c r="J723" s="120">
        <v>200</v>
      </c>
      <c r="K723" s="120">
        <v>2</v>
      </c>
      <c r="L723" s="120">
        <v>50</v>
      </c>
      <c r="M723" s="120">
        <v>15</v>
      </c>
      <c r="N723" s="120">
        <v>40</v>
      </c>
      <c r="O723" s="120">
        <v>2</v>
      </c>
      <c r="P723" s="120">
        <v>20</v>
      </c>
      <c r="Q723" s="120">
        <v>220</v>
      </c>
      <c r="R723" s="120">
        <v>174.39999389648401</v>
      </c>
      <c r="S723" s="148">
        <v>26.399999618530298</v>
      </c>
      <c r="T723" s="120">
        <v>65</v>
      </c>
      <c r="U723" s="120">
        <v>20</v>
      </c>
      <c r="V723" s="120">
        <v>-9999</v>
      </c>
      <c r="W723" s="120">
        <v>-9999</v>
      </c>
      <c r="X723" s="120">
        <v>-9999</v>
      </c>
      <c r="Y723" s="120">
        <v>-9999</v>
      </c>
      <c r="Z723" s="120">
        <v>-9999</v>
      </c>
      <c r="AA723" s="120">
        <v>68</v>
      </c>
      <c r="AB723" s="120">
        <v>14.5</v>
      </c>
      <c r="AC723" s="120">
        <v>722</v>
      </c>
      <c r="AD723" s="120">
        <v>1994</v>
      </c>
      <c r="AE723" s="120">
        <v>-9999</v>
      </c>
      <c r="AF723" s="120">
        <v>-9999</v>
      </c>
      <c r="AG723" s="120">
        <v>-9999</v>
      </c>
    </row>
    <row r="724" spans="1:33" x14ac:dyDescent="0.25">
      <c r="A724" s="120">
        <v>723</v>
      </c>
      <c r="B724" s="120" t="b">
        <v>0</v>
      </c>
      <c r="C724" s="120">
        <v>0</v>
      </c>
      <c r="D724" s="61">
        <v>2</v>
      </c>
      <c r="E724" s="120">
        <v>1</v>
      </c>
      <c r="F724" s="120" t="s">
        <v>179</v>
      </c>
      <c r="G724" s="55">
        <v>200</v>
      </c>
      <c r="H724" s="120">
        <v>660</v>
      </c>
      <c r="I724" s="57">
        <v>200</v>
      </c>
      <c r="J724" s="120">
        <v>200</v>
      </c>
      <c r="K724" s="120">
        <v>3</v>
      </c>
      <c r="L724" s="120">
        <v>40</v>
      </c>
      <c r="M724" s="120">
        <v>15</v>
      </c>
      <c r="N724" s="120">
        <v>40</v>
      </c>
      <c r="O724" s="120">
        <v>2</v>
      </c>
      <c r="P724" s="120">
        <v>16.666999816894499</v>
      </c>
      <c r="Q724" s="120">
        <v>220</v>
      </c>
      <c r="R724" s="120">
        <v>174.39999389648401</v>
      </c>
      <c r="S724" s="148">
        <v>26.399999618530298</v>
      </c>
      <c r="T724" s="120">
        <v>57</v>
      </c>
      <c r="U724" s="120">
        <v>20</v>
      </c>
      <c r="V724" s="120">
        <v>-9999</v>
      </c>
      <c r="W724" s="120">
        <v>-9999</v>
      </c>
      <c r="X724" s="120">
        <v>-9999</v>
      </c>
      <c r="Y724" s="120">
        <v>-9999</v>
      </c>
      <c r="Z724" s="120">
        <v>-9999</v>
      </c>
      <c r="AA724" s="120">
        <v>68</v>
      </c>
      <c r="AB724" s="120">
        <v>14.5</v>
      </c>
      <c r="AC724" s="120">
        <v>723</v>
      </c>
      <c r="AD724" s="120">
        <v>1995</v>
      </c>
      <c r="AE724" s="120">
        <v>-9999</v>
      </c>
      <c r="AF724" s="120">
        <v>-9999</v>
      </c>
      <c r="AG724" s="120">
        <v>-9999</v>
      </c>
    </row>
    <row r="725" spans="1:33" x14ac:dyDescent="0.25">
      <c r="A725" s="120">
        <v>724</v>
      </c>
      <c r="B725" s="120" t="b">
        <v>0</v>
      </c>
      <c r="C725" s="120">
        <v>0</v>
      </c>
      <c r="D725" s="61">
        <v>2</v>
      </c>
      <c r="E725" s="120">
        <v>1</v>
      </c>
      <c r="F725" s="120" t="s">
        <v>179</v>
      </c>
      <c r="G725" s="55">
        <v>200</v>
      </c>
      <c r="H725" s="120">
        <v>630</v>
      </c>
      <c r="I725" s="57">
        <v>200</v>
      </c>
      <c r="J725" s="120">
        <v>210</v>
      </c>
      <c r="K725" s="120">
        <v>4</v>
      </c>
      <c r="L725" s="120">
        <v>100</v>
      </c>
      <c r="M725" s="120">
        <v>15</v>
      </c>
      <c r="N725" s="120">
        <v>40</v>
      </c>
      <c r="O725" s="120">
        <v>2</v>
      </c>
      <c r="P725" s="120">
        <v>-9999</v>
      </c>
      <c r="Q725" s="120">
        <v>210</v>
      </c>
      <c r="R725" s="120">
        <v>166.5</v>
      </c>
      <c r="S725" s="148">
        <v>26.399999618530298</v>
      </c>
      <c r="T725" s="120">
        <v>-9999</v>
      </c>
      <c r="U725" s="120">
        <v>20</v>
      </c>
      <c r="V725" s="120">
        <v>-9999</v>
      </c>
      <c r="W725" s="120">
        <v>-9999</v>
      </c>
      <c r="X725" s="120">
        <v>-9999</v>
      </c>
      <c r="Y725" s="120">
        <v>-9999</v>
      </c>
      <c r="Z725" s="120">
        <v>-9999</v>
      </c>
      <c r="AA725" s="120">
        <v>68</v>
      </c>
      <c r="AB725" s="120">
        <v>14.5</v>
      </c>
      <c r="AC725" s="120">
        <v>724</v>
      </c>
      <c r="AD725" s="120">
        <v>1996</v>
      </c>
      <c r="AE725" s="120">
        <v>-9999</v>
      </c>
      <c r="AF725" s="120">
        <v>-9999</v>
      </c>
      <c r="AG725" s="120">
        <v>-9999</v>
      </c>
    </row>
    <row r="726" spans="1:33" x14ac:dyDescent="0.25">
      <c r="A726" s="120">
        <v>725</v>
      </c>
      <c r="B726" s="120" t="b">
        <v>0</v>
      </c>
      <c r="C726" s="120">
        <v>0</v>
      </c>
      <c r="D726" s="61">
        <v>2</v>
      </c>
      <c r="E726" s="120">
        <v>1</v>
      </c>
      <c r="F726" s="120" t="s">
        <v>179</v>
      </c>
      <c r="G726" s="55">
        <v>200</v>
      </c>
      <c r="H726" s="120">
        <v>630</v>
      </c>
      <c r="I726" s="57">
        <v>200</v>
      </c>
      <c r="J726" s="120">
        <v>210</v>
      </c>
      <c r="K726" s="120">
        <v>11</v>
      </c>
      <c r="L726" s="120">
        <v>60</v>
      </c>
      <c r="M726" s="120">
        <v>15</v>
      </c>
      <c r="N726" s="120">
        <v>40</v>
      </c>
      <c r="O726" s="120">
        <v>2</v>
      </c>
      <c r="P726" s="120">
        <v>25</v>
      </c>
      <c r="Q726" s="120">
        <v>210</v>
      </c>
      <c r="R726" s="120">
        <v>166.5</v>
      </c>
      <c r="S726" s="148">
        <v>26.399999618530298</v>
      </c>
      <c r="T726" s="120">
        <v>70</v>
      </c>
      <c r="U726" s="120">
        <v>20</v>
      </c>
      <c r="V726" s="120">
        <v>-9999</v>
      </c>
      <c r="W726" s="120">
        <v>-9999</v>
      </c>
      <c r="X726" s="120">
        <v>-9999</v>
      </c>
      <c r="Y726" s="120">
        <v>-9999</v>
      </c>
      <c r="Z726" s="120">
        <v>-9999</v>
      </c>
      <c r="AA726" s="120">
        <v>68</v>
      </c>
      <c r="AB726" s="120">
        <v>14.5</v>
      </c>
      <c r="AC726" s="120">
        <v>725</v>
      </c>
      <c r="AD726" s="120">
        <v>1997</v>
      </c>
      <c r="AE726" s="120">
        <v>-9999</v>
      </c>
      <c r="AF726" s="120">
        <v>-9999</v>
      </c>
      <c r="AG726" s="120">
        <v>-9999</v>
      </c>
    </row>
    <row r="727" spans="1:33" x14ac:dyDescent="0.25">
      <c r="A727" s="120">
        <v>726</v>
      </c>
      <c r="B727" s="120" t="b">
        <v>0</v>
      </c>
      <c r="C727" s="120">
        <v>0</v>
      </c>
      <c r="D727" s="61">
        <v>2</v>
      </c>
      <c r="E727" s="120">
        <v>1</v>
      </c>
      <c r="F727" s="120" t="s">
        <v>180</v>
      </c>
      <c r="G727" s="55">
        <v>250</v>
      </c>
      <c r="H727" s="120">
        <v>1327</v>
      </c>
      <c r="I727" s="57">
        <v>100</v>
      </c>
      <c r="J727" s="120">
        <v>110</v>
      </c>
      <c r="K727" s="120">
        <v>1</v>
      </c>
      <c r="L727" s="120">
        <v>50</v>
      </c>
      <c r="M727" s="120">
        <v>15</v>
      </c>
      <c r="N727" s="120">
        <v>40</v>
      </c>
      <c r="O727" s="120">
        <v>2</v>
      </c>
      <c r="P727" s="120">
        <v>5</v>
      </c>
      <c r="Q727" s="120">
        <v>262.5</v>
      </c>
      <c r="R727" s="120">
        <v>209.19999694824199</v>
      </c>
      <c r="S727" s="148">
        <v>15.800000190734901</v>
      </c>
      <c r="T727" s="120">
        <v>65</v>
      </c>
      <c r="U727" s="120">
        <v>20</v>
      </c>
      <c r="V727" s="120">
        <v>-9999</v>
      </c>
      <c r="W727" s="120">
        <v>-9999</v>
      </c>
      <c r="X727" s="120">
        <v>-9999</v>
      </c>
      <c r="Y727" s="120">
        <v>-9999</v>
      </c>
      <c r="Z727" s="120">
        <v>-9999</v>
      </c>
      <c r="AA727" s="120">
        <v>68</v>
      </c>
      <c r="AB727" s="120">
        <v>14.5</v>
      </c>
      <c r="AC727" s="120">
        <v>726</v>
      </c>
      <c r="AD727" s="120">
        <v>1998</v>
      </c>
      <c r="AE727" s="120">
        <v>-9999</v>
      </c>
      <c r="AF727" s="120">
        <v>-9999</v>
      </c>
      <c r="AG727" s="120">
        <v>-9999</v>
      </c>
    </row>
    <row r="728" spans="1:33" x14ac:dyDescent="0.25">
      <c r="A728" s="120">
        <v>727</v>
      </c>
      <c r="B728" s="120" t="b">
        <v>0</v>
      </c>
      <c r="C728" s="120">
        <v>0</v>
      </c>
      <c r="D728" s="61">
        <v>2</v>
      </c>
      <c r="E728" s="120">
        <v>1</v>
      </c>
      <c r="F728" s="120" t="s">
        <v>180</v>
      </c>
      <c r="G728" s="55">
        <v>250</v>
      </c>
      <c r="H728" s="120">
        <v>1390</v>
      </c>
      <c r="I728" s="57">
        <v>100</v>
      </c>
      <c r="J728" s="120">
        <v>100</v>
      </c>
      <c r="K728" s="120">
        <v>2</v>
      </c>
      <c r="L728" s="120">
        <v>50</v>
      </c>
      <c r="M728" s="120">
        <v>15</v>
      </c>
      <c r="N728" s="120">
        <v>40</v>
      </c>
      <c r="O728" s="120">
        <v>2</v>
      </c>
      <c r="P728" s="120">
        <v>20</v>
      </c>
      <c r="Q728" s="120">
        <v>275</v>
      </c>
      <c r="R728" s="120">
        <v>219.19999694824199</v>
      </c>
      <c r="S728" s="148">
        <v>15.800000190734901</v>
      </c>
      <c r="T728" s="120">
        <v>65</v>
      </c>
      <c r="U728" s="120">
        <v>20</v>
      </c>
      <c r="V728" s="120">
        <v>-9999</v>
      </c>
      <c r="W728" s="120">
        <v>-9999</v>
      </c>
      <c r="X728" s="120">
        <v>-9999</v>
      </c>
      <c r="Y728" s="120">
        <v>-9999</v>
      </c>
      <c r="Z728" s="120">
        <v>-9999</v>
      </c>
      <c r="AA728" s="120">
        <v>68</v>
      </c>
      <c r="AB728" s="120">
        <v>14.5</v>
      </c>
      <c r="AC728" s="120">
        <v>727</v>
      </c>
      <c r="AD728" s="120">
        <v>1999</v>
      </c>
      <c r="AE728" s="120">
        <v>-9999</v>
      </c>
      <c r="AF728" s="120">
        <v>-9999</v>
      </c>
      <c r="AG728" s="120">
        <v>-9999</v>
      </c>
    </row>
    <row r="729" spans="1:33" x14ac:dyDescent="0.25">
      <c r="A729" s="120">
        <v>728</v>
      </c>
      <c r="B729" s="120" t="b">
        <v>0</v>
      </c>
      <c r="C729" s="120">
        <v>0</v>
      </c>
      <c r="D729" s="61">
        <v>2</v>
      </c>
      <c r="E729" s="120">
        <v>1</v>
      </c>
      <c r="F729" s="120" t="s">
        <v>180</v>
      </c>
      <c r="G729" s="55">
        <v>250</v>
      </c>
      <c r="H729" s="120">
        <v>1390</v>
      </c>
      <c r="I729" s="57">
        <v>100</v>
      </c>
      <c r="J729" s="120">
        <v>100</v>
      </c>
      <c r="K729" s="120">
        <v>3</v>
      </c>
      <c r="L729" s="120">
        <v>40</v>
      </c>
      <c r="M729" s="120">
        <v>15</v>
      </c>
      <c r="N729" s="120">
        <v>40</v>
      </c>
      <c r="O729" s="120">
        <v>2</v>
      </c>
      <c r="P729" s="120">
        <v>16.666999816894499</v>
      </c>
      <c r="Q729" s="120">
        <v>275</v>
      </c>
      <c r="R729" s="120">
        <v>219.19999694824199</v>
      </c>
      <c r="S729" s="148">
        <v>15.800000190734901</v>
      </c>
      <c r="T729" s="120">
        <v>57</v>
      </c>
      <c r="U729" s="120">
        <v>20</v>
      </c>
      <c r="V729" s="120">
        <v>-9999</v>
      </c>
      <c r="W729" s="120">
        <v>-9999</v>
      </c>
      <c r="X729" s="120">
        <v>-9999</v>
      </c>
      <c r="Y729" s="120">
        <v>-9999</v>
      </c>
      <c r="Z729" s="120">
        <v>-9999</v>
      </c>
      <c r="AA729" s="120">
        <v>68</v>
      </c>
      <c r="AB729" s="120">
        <v>14.5</v>
      </c>
      <c r="AC729" s="120">
        <v>728</v>
      </c>
      <c r="AD729" s="120">
        <v>2000</v>
      </c>
      <c r="AE729" s="120">
        <v>-9999</v>
      </c>
      <c r="AF729" s="120">
        <v>-9999</v>
      </c>
      <c r="AG729" s="120">
        <v>-9999</v>
      </c>
    </row>
    <row r="730" spans="1:33" x14ac:dyDescent="0.25">
      <c r="A730" s="120">
        <v>729</v>
      </c>
      <c r="B730" s="120" t="b">
        <v>0</v>
      </c>
      <c r="C730" s="120">
        <v>0</v>
      </c>
      <c r="D730" s="61">
        <v>2</v>
      </c>
      <c r="E730" s="120">
        <v>1</v>
      </c>
      <c r="F730" s="120" t="s">
        <v>180</v>
      </c>
      <c r="G730" s="55">
        <v>250</v>
      </c>
      <c r="H730" s="120">
        <v>1327</v>
      </c>
      <c r="I730" s="57">
        <v>100</v>
      </c>
      <c r="J730" s="120">
        <v>110</v>
      </c>
      <c r="K730" s="120">
        <v>4</v>
      </c>
      <c r="L730" s="120">
        <v>100</v>
      </c>
      <c r="M730" s="120">
        <v>15</v>
      </c>
      <c r="N730" s="120">
        <v>40</v>
      </c>
      <c r="O730" s="120">
        <v>2</v>
      </c>
      <c r="P730" s="120">
        <v>-9999</v>
      </c>
      <c r="Q730" s="120">
        <v>262.5</v>
      </c>
      <c r="R730" s="120">
        <v>209.19999694824199</v>
      </c>
      <c r="S730" s="148">
        <v>15.800000190734901</v>
      </c>
      <c r="T730" s="120">
        <v>-9999</v>
      </c>
      <c r="U730" s="120">
        <v>20</v>
      </c>
      <c r="V730" s="120">
        <v>-9999</v>
      </c>
      <c r="W730" s="120">
        <v>-9999</v>
      </c>
      <c r="X730" s="120">
        <v>-9999</v>
      </c>
      <c r="Y730" s="120">
        <v>-9999</v>
      </c>
      <c r="Z730" s="120">
        <v>-9999</v>
      </c>
      <c r="AA730" s="120">
        <v>68</v>
      </c>
      <c r="AB730" s="120">
        <v>14.5</v>
      </c>
      <c r="AC730" s="120">
        <v>729</v>
      </c>
      <c r="AD730" s="120">
        <v>2001</v>
      </c>
      <c r="AE730" s="120">
        <v>-9999</v>
      </c>
      <c r="AF730" s="120">
        <v>-9999</v>
      </c>
      <c r="AG730" s="120">
        <v>-9999</v>
      </c>
    </row>
    <row r="731" spans="1:33" x14ac:dyDescent="0.25">
      <c r="A731" s="120">
        <v>730</v>
      </c>
      <c r="B731" s="120" t="b">
        <v>0</v>
      </c>
      <c r="C731" s="120">
        <v>0</v>
      </c>
      <c r="D731" s="61">
        <v>2</v>
      </c>
      <c r="E731" s="120">
        <v>1</v>
      </c>
      <c r="F731" s="120" t="s">
        <v>180</v>
      </c>
      <c r="G731" s="55">
        <v>250</v>
      </c>
      <c r="H731" s="120">
        <v>1327</v>
      </c>
      <c r="I731" s="57">
        <v>100</v>
      </c>
      <c r="J731" s="120">
        <v>110</v>
      </c>
      <c r="K731" s="120">
        <v>11</v>
      </c>
      <c r="L731" s="120">
        <v>60</v>
      </c>
      <c r="M731" s="120">
        <v>15</v>
      </c>
      <c r="N731" s="120">
        <v>40</v>
      </c>
      <c r="O731" s="120">
        <v>2</v>
      </c>
      <c r="P731" s="120">
        <v>25</v>
      </c>
      <c r="Q731" s="120">
        <v>262.5</v>
      </c>
      <c r="R731" s="120">
        <v>209.19999694824199</v>
      </c>
      <c r="S731" s="148">
        <v>15.800000190734901</v>
      </c>
      <c r="T731" s="120">
        <v>70</v>
      </c>
      <c r="U731" s="120">
        <v>20</v>
      </c>
      <c r="V731" s="120">
        <v>-9999</v>
      </c>
      <c r="W731" s="120">
        <v>-9999</v>
      </c>
      <c r="X731" s="120">
        <v>-9999</v>
      </c>
      <c r="Y731" s="120">
        <v>-9999</v>
      </c>
      <c r="Z731" s="120">
        <v>-9999</v>
      </c>
      <c r="AA731" s="120">
        <v>68</v>
      </c>
      <c r="AB731" s="120">
        <v>14.5</v>
      </c>
      <c r="AC731" s="120">
        <v>730</v>
      </c>
      <c r="AD731" s="120">
        <v>2002</v>
      </c>
      <c r="AE731" s="120">
        <v>-9999</v>
      </c>
      <c r="AF731" s="120">
        <v>-9999</v>
      </c>
      <c r="AG731" s="120">
        <v>-9999</v>
      </c>
    </row>
    <row r="732" spans="1:33" x14ac:dyDescent="0.25">
      <c r="A732" s="120">
        <v>731</v>
      </c>
      <c r="B732" s="120" t="b">
        <v>0</v>
      </c>
      <c r="C732" s="120">
        <v>0</v>
      </c>
      <c r="D732" s="61">
        <v>2</v>
      </c>
      <c r="E732" s="120">
        <v>1</v>
      </c>
      <c r="F732" s="120" t="s">
        <v>180</v>
      </c>
      <c r="G732" s="55">
        <v>250</v>
      </c>
      <c r="H732" s="120">
        <v>1192</v>
      </c>
      <c r="I732" s="57">
        <v>125</v>
      </c>
      <c r="J732" s="120">
        <v>135</v>
      </c>
      <c r="K732" s="120">
        <v>1</v>
      </c>
      <c r="L732" s="120">
        <v>50</v>
      </c>
      <c r="M732" s="120">
        <v>15</v>
      </c>
      <c r="N732" s="120">
        <v>40</v>
      </c>
      <c r="O732" s="120">
        <v>2</v>
      </c>
      <c r="P732" s="120">
        <v>5</v>
      </c>
      <c r="Q732" s="120">
        <v>262.5</v>
      </c>
      <c r="R732" s="120">
        <v>209.19999694824199</v>
      </c>
      <c r="S732" s="148">
        <v>17.5</v>
      </c>
      <c r="T732" s="120">
        <v>65</v>
      </c>
      <c r="U732" s="120">
        <v>20</v>
      </c>
      <c r="V732" s="120">
        <v>-9999</v>
      </c>
      <c r="W732" s="120">
        <v>-9999</v>
      </c>
      <c r="X732" s="120">
        <v>-9999</v>
      </c>
      <c r="Y732" s="120">
        <v>-9999</v>
      </c>
      <c r="Z732" s="120">
        <v>-9999</v>
      </c>
      <c r="AA732" s="120">
        <v>68</v>
      </c>
      <c r="AB732" s="120">
        <v>14.5</v>
      </c>
      <c r="AC732" s="120">
        <v>731</v>
      </c>
      <c r="AD732" s="120">
        <v>2003</v>
      </c>
      <c r="AE732" s="120">
        <v>-9999</v>
      </c>
      <c r="AF732" s="120">
        <v>-9999</v>
      </c>
      <c r="AG732" s="120">
        <v>-9999</v>
      </c>
    </row>
    <row r="733" spans="1:33" x14ac:dyDescent="0.25">
      <c r="A733" s="120">
        <v>732</v>
      </c>
      <c r="B733" s="120" t="b">
        <v>0</v>
      </c>
      <c r="C733" s="120">
        <v>0</v>
      </c>
      <c r="D733" s="61">
        <v>2</v>
      </c>
      <c r="E733" s="120">
        <v>1</v>
      </c>
      <c r="F733" s="120" t="s">
        <v>180</v>
      </c>
      <c r="G733" s="55">
        <v>250</v>
      </c>
      <c r="H733" s="120">
        <v>1249</v>
      </c>
      <c r="I733" s="57">
        <v>125</v>
      </c>
      <c r="J733" s="120">
        <v>125</v>
      </c>
      <c r="K733" s="120">
        <v>2</v>
      </c>
      <c r="L733" s="120">
        <v>50</v>
      </c>
      <c r="M733" s="120">
        <v>15</v>
      </c>
      <c r="N733" s="120">
        <v>40</v>
      </c>
      <c r="O733" s="120">
        <v>2</v>
      </c>
      <c r="P733" s="120">
        <v>20</v>
      </c>
      <c r="Q733" s="120">
        <v>275</v>
      </c>
      <c r="R733" s="120">
        <v>219.19999694824199</v>
      </c>
      <c r="S733" s="148">
        <v>17.5</v>
      </c>
      <c r="T733" s="120">
        <v>65</v>
      </c>
      <c r="U733" s="120">
        <v>20</v>
      </c>
      <c r="V733" s="120">
        <v>-9999</v>
      </c>
      <c r="W733" s="120">
        <v>-9999</v>
      </c>
      <c r="X733" s="120">
        <v>-9999</v>
      </c>
      <c r="Y733" s="120">
        <v>-9999</v>
      </c>
      <c r="Z733" s="120">
        <v>-9999</v>
      </c>
      <c r="AA733" s="120">
        <v>68</v>
      </c>
      <c r="AB733" s="120">
        <v>14.5</v>
      </c>
      <c r="AC733" s="120">
        <v>732</v>
      </c>
      <c r="AD733" s="120">
        <v>2004</v>
      </c>
      <c r="AE733" s="120">
        <v>-9999</v>
      </c>
      <c r="AF733" s="120">
        <v>-9999</v>
      </c>
      <c r="AG733" s="120">
        <v>-9999</v>
      </c>
    </row>
    <row r="734" spans="1:33" x14ac:dyDescent="0.25">
      <c r="A734" s="120">
        <v>733</v>
      </c>
      <c r="B734" s="120" t="b">
        <v>0</v>
      </c>
      <c r="C734" s="120">
        <v>0</v>
      </c>
      <c r="D734" s="61">
        <v>2</v>
      </c>
      <c r="E734" s="120">
        <v>1</v>
      </c>
      <c r="F734" s="120" t="s">
        <v>180</v>
      </c>
      <c r="G734" s="55">
        <v>250</v>
      </c>
      <c r="H734" s="120">
        <v>1249</v>
      </c>
      <c r="I734" s="57">
        <v>125</v>
      </c>
      <c r="J734" s="120">
        <v>125</v>
      </c>
      <c r="K734" s="120">
        <v>3</v>
      </c>
      <c r="L734" s="120">
        <v>40</v>
      </c>
      <c r="M734" s="120">
        <v>15</v>
      </c>
      <c r="N734" s="120">
        <v>40</v>
      </c>
      <c r="O734" s="120">
        <v>2</v>
      </c>
      <c r="P734" s="120">
        <v>16.666999816894499</v>
      </c>
      <c r="Q734" s="120">
        <v>275</v>
      </c>
      <c r="R734" s="120">
        <v>219.19999694824199</v>
      </c>
      <c r="S734" s="148">
        <v>17.5</v>
      </c>
      <c r="T734" s="120">
        <v>57</v>
      </c>
      <c r="U734" s="120">
        <v>20</v>
      </c>
      <c r="V734" s="120">
        <v>-9999</v>
      </c>
      <c r="W734" s="120">
        <v>-9999</v>
      </c>
      <c r="X734" s="120">
        <v>-9999</v>
      </c>
      <c r="Y734" s="120">
        <v>-9999</v>
      </c>
      <c r="Z734" s="120">
        <v>-9999</v>
      </c>
      <c r="AA734" s="120">
        <v>68</v>
      </c>
      <c r="AB734" s="120">
        <v>14.5</v>
      </c>
      <c r="AC734" s="120">
        <v>733</v>
      </c>
      <c r="AD734" s="120">
        <v>2005</v>
      </c>
      <c r="AE734" s="120">
        <v>-9999</v>
      </c>
      <c r="AF734" s="120">
        <v>-9999</v>
      </c>
      <c r="AG734" s="120">
        <v>-9999</v>
      </c>
    </row>
    <row r="735" spans="1:33" x14ac:dyDescent="0.25">
      <c r="A735" s="120">
        <v>734</v>
      </c>
      <c r="B735" s="120" t="b">
        <v>0</v>
      </c>
      <c r="C735" s="120">
        <v>0</v>
      </c>
      <c r="D735" s="61">
        <v>2</v>
      </c>
      <c r="E735" s="120">
        <v>1</v>
      </c>
      <c r="F735" s="120" t="s">
        <v>180</v>
      </c>
      <c r="G735" s="55">
        <v>250</v>
      </c>
      <c r="H735" s="120">
        <v>1192</v>
      </c>
      <c r="I735" s="57">
        <v>125</v>
      </c>
      <c r="J735" s="120">
        <v>135</v>
      </c>
      <c r="K735" s="120">
        <v>4</v>
      </c>
      <c r="L735" s="120">
        <v>100</v>
      </c>
      <c r="M735" s="120">
        <v>15</v>
      </c>
      <c r="N735" s="120">
        <v>40</v>
      </c>
      <c r="O735" s="120">
        <v>2</v>
      </c>
      <c r="P735" s="120">
        <v>-9999</v>
      </c>
      <c r="Q735" s="120">
        <v>262.5</v>
      </c>
      <c r="R735" s="120">
        <v>209.19999694824199</v>
      </c>
      <c r="S735" s="148">
        <v>17.5</v>
      </c>
      <c r="T735" s="120">
        <v>-9999</v>
      </c>
      <c r="U735" s="120">
        <v>20</v>
      </c>
      <c r="V735" s="120">
        <v>-9999</v>
      </c>
      <c r="W735" s="120">
        <v>-9999</v>
      </c>
      <c r="X735" s="120">
        <v>-9999</v>
      </c>
      <c r="Y735" s="120">
        <v>-9999</v>
      </c>
      <c r="Z735" s="120">
        <v>-9999</v>
      </c>
      <c r="AA735" s="120">
        <v>68</v>
      </c>
      <c r="AB735" s="120">
        <v>14.5</v>
      </c>
      <c r="AC735" s="120">
        <v>734</v>
      </c>
      <c r="AD735" s="120">
        <v>2006</v>
      </c>
      <c r="AE735" s="120">
        <v>-9999</v>
      </c>
      <c r="AF735" s="120">
        <v>-9999</v>
      </c>
      <c r="AG735" s="120">
        <v>-9999</v>
      </c>
    </row>
    <row r="736" spans="1:33" x14ac:dyDescent="0.25">
      <c r="A736" s="120">
        <v>735</v>
      </c>
      <c r="B736" s="120" t="b">
        <v>0</v>
      </c>
      <c r="C736" s="120">
        <v>0</v>
      </c>
      <c r="D736" s="61">
        <v>2</v>
      </c>
      <c r="E736" s="120">
        <v>1</v>
      </c>
      <c r="F736" s="120" t="s">
        <v>180</v>
      </c>
      <c r="G736" s="55">
        <v>250</v>
      </c>
      <c r="H736" s="120">
        <v>1192</v>
      </c>
      <c r="I736" s="57">
        <v>125</v>
      </c>
      <c r="J736" s="120">
        <v>135</v>
      </c>
      <c r="K736" s="120">
        <v>11</v>
      </c>
      <c r="L736" s="120">
        <v>60</v>
      </c>
      <c r="M736" s="120">
        <v>15</v>
      </c>
      <c r="N736" s="120">
        <v>40</v>
      </c>
      <c r="O736" s="120">
        <v>2</v>
      </c>
      <c r="P736" s="120">
        <v>25</v>
      </c>
      <c r="Q736" s="120">
        <v>262.5</v>
      </c>
      <c r="R736" s="120">
        <v>209.19999694824199</v>
      </c>
      <c r="S736" s="148">
        <v>17.5</v>
      </c>
      <c r="T736" s="120">
        <v>70</v>
      </c>
      <c r="U736" s="120">
        <v>20</v>
      </c>
      <c r="V736" s="120">
        <v>-9999</v>
      </c>
      <c r="W736" s="120">
        <v>-9999</v>
      </c>
      <c r="X736" s="120">
        <v>-9999</v>
      </c>
      <c r="Y736" s="120">
        <v>-9999</v>
      </c>
      <c r="Z736" s="120">
        <v>-9999</v>
      </c>
      <c r="AA736" s="120">
        <v>68</v>
      </c>
      <c r="AB736" s="120">
        <v>14.5</v>
      </c>
      <c r="AC736" s="120">
        <v>735</v>
      </c>
      <c r="AD736" s="120">
        <v>2007</v>
      </c>
      <c r="AE736" s="120">
        <v>-9999</v>
      </c>
      <c r="AF736" s="120">
        <v>-9999</v>
      </c>
      <c r="AG736" s="120">
        <v>-9999</v>
      </c>
    </row>
    <row r="737" spans="1:33" x14ac:dyDescent="0.25">
      <c r="A737" s="120">
        <v>736</v>
      </c>
      <c r="B737" s="120" t="b">
        <v>0</v>
      </c>
      <c r="C737" s="120">
        <v>0</v>
      </c>
      <c r="D737" s="61">
        <v>2</v>
      </c>
      <c r="E737" s="120">
        <v>1</v>
      </c>
      <c r="F737" s="120" t="s">
        <v>180</v>
      </c>
      <c r="G737" s="55">
        <v>250</v>
      </c>
      <c r="H737" s="120">
        <v>1114</v>
      </c>
      <c r="I737" s="57">
        <v>140</v>
      </c>
      <c r="J737" s="120">
        <v>150</v>
      </c>
      <c r="K737" s="120">
        <v>1</v>
      </c>
      <c r="L737" s="120">
        <v>50</v>
      </c>
      <c r="M737" s="120">
        <v>15</v>
      </c>
      <c r="N737" s="120">
        <v>40</v>
      </c>
      <c r="O737" s="120">
        <v>2</v>
      </c>
      <c r="P737" s="120">
        <v>5</v>
      </c>
      <c r="Q737" s="120">
        <v>262.5</v>
      </c>
      <c r="R737" s="120">
        <v>209.19999694824199</v>
      </c>
      <c r="S737" s="148">
        <v>18.799999237060501</v>
      </c>
      <c r="T737" s="120">
        <v>65</v>
      </c>
      <c r="U737" s="120">
        <v>20</v>
      </c>
      <c r="V737" s="120">
        <v>-9999</v>
      </c>
      <c r="W737" s="120">
        <v>-9999</v>
      </c>
      <c r="X737" s="120">
        <v>-9999</v>
      </c>
      <c r="Y737" s="120">
        <v>-9999</v>
      </c>
      <c r="Z737" s="120">
        <v>-9999</v>
      </c>
      <c r="AA737" s="120">
        <v>68</v>
      </c>
      <c r="AB737" s="120">
        <v>14.5</v>
      </c>
      <c r="AC737" s="120">
        <v>736</v>
      </c>
      <c r="AD737" s="120">
        <v>2008</v>
      </c>
      <c r="AE737" s="120">
        <v>-9999</v>
      </c>
      <c r="AF737" s="120">
        <v>-9999</v>
      </c>
      <c r="AG737" s="120">
        <v>-9999</v>
      </c>
    </row>
    <row r="738" spans="1:33" x14ac:dyDescent="0.25">
      <c r="A738" s="120">
        <v>737</v>
      </c>
      <c r="B738" s="120" t="b">
        <v>0</v>
      </c>
      <c r="C738" s="120">
        <v>0</v>
      </c>
      <c r="D738" s="61">
        <v>2</v>
      </c>
      <c r="E738" s="120">
        <v>1</v>
      </c>
      <c r="F738" s="120" t="s">
        <v>180</v>
      </c>
      <c r="G738" s="55">
        <v>250</v>
      </c>
      <c r="H738" s="120">
        <v>1167</v>
      </c>
      <c r="I738" s="57">
        <v>140</v>
      </c>
      <c r="J738" s="120">
        <v>140</v>
      </c>
      <c r="K738" s="120">
        <v>2</v>
      </c>
      <c r="L738" s="120">
        <v>50</v>
      </c>
      <c r="M738" s="120">
        <v>15</v>
      </c>
      <c r="N738" s="120">
        <v>40</v>
      </c>
      <c r="O738" s="120">
        <v>2</v>
      </c>
      <c r="P738" s="120">
        <v>20</v>
      </c>
      <c r="Q738" s="120">
        <v>275</v>
      </c>
      <c r="R738" s="120">
        <v>219.19999694824199</v>
      </c>
      <c r="S738" s="148">
        <v>18.799999237060501</v>
      </c>
      <c r="T738" s="120">
        <v>65</v>
      </c>
      <c r="U738" s="120">
        <v>20</v>
      </c>
      <c r="V738" s="120">
        <v>-9999</v>
      </c>
      <c r="W738" s="120">
        <v>-9999</v>
      </c>
      <c r="X738" s="120">
        <v>-9999</v>
      </c>
      <c r="Y738" s="120">
        <v>-9999</v>
      </c>
      <c r="Z738" s="120">
        <v>-9999</v>
      </c>
      <c r="AA738" s="120">
        <v>68</v>
      </c>
      <c r="AB738" s="120">
        <v>14.5</v>
      </c>
      <c r="AC738" s="120">
        <v>737</v>
      </c>
      <c r="AD738" s="120">
        <v>2009</v>
      </c>
      <c r="AE738" s="120">
        <v>-9999</v>
      </c>
      <c r="AF738" s="120">
        <v>-9999</v>
      </c>
      <c r="AG738" s="120">
        <v>-9999</v>
      </c>
    </row>
    <row r="739" spans="1:33" x14ac:dyDescent="0.25">
      <c r="A739" s="120">
        <v>738</v>
      </c>
      <c r="B739" s="120" t="b">
        <v>0</v>
      </c>
      <c r="C739" s="120">
        <v>0</v>
      </c>
      <c r="D739" s="61">
        <v>2</v>
      </c>
      <c r="E739" s="120">
        <v>1</v>
      </c>
      <c r="F739" s="120" t="s">
        <v>180</v>
      </c>
      <c r="G739" s="55">
        <v>250</v>
      </c>
      <c r="H739" s="120">
        <v>1167</v>
      </c>
      <c r="I739" s="57">
        <v>140</v>
      </c>
      <c r="J739" s="120">
        <v>140</v>
      </c>
      <c r="K739" s="120">
        <v>3</v>
      </c>
      <c r="L739" s="120">
        <v>40</v>
      </c>
      <c r="M739" s="120">
        <v>15</v>
      </c>
      <c r="N739" s="120">
        <v>40</v>
      </c>
      <c r="O739" s="120">
        <v>2</v>
      </c>
      <c r="P739" s="120">
        <v>16.666999816894499</v>
      </c>
      <c r="Q739" s="120">
        <v>275</v>
      </c>
      <c r="R739" s="120">
        <v>219.19999694824199</v>
      </c>
      <c r="S739" s="148">
        <v>18.799999237060501</v>
      </c>
      <c r="T739" s="120">
        <v>57</v>
      </c>
      <c r="U739" s="120">
        <v>20</v>
      </c>
      <c r="V739" s="120">
        <v>-9999</v>
      </c>
      <c r="W739" s="120">
        <v>-9999</v>
      </c>
      <c r="X739" s="120">
        <v>-9999</v>
      </c>
      <c r="Y739" s="120">
        <v>-9999</v>
      </c>
      <c r="Z739" s="120">
        <v>-9999</v>
      </c>
      <c r="AA739" s="120">
        <v>68</v>
      </c>
      <c r="AB739" s="120">
        <v>14.5</v>
      </c>
      <c r="AC739" s="120">
        <v>738</v>
      </c>
      <c r="AD739" s="120">
        <v>2010</v>
      </c>
      <c r="AE739" s="120">
        <v>-9999</v>
      </c>
      <c r="AF739" s="120">
        <v>-9999</v>
      </c>
      <c r="AG739" s="120">
        <v>-9999</v>
      </c>
    </row>
    <row r="740" spans="1:33" x14ac:dyDescent="0.25">
      <c r="A740" s="120">
        <v>739</v>
      </c>
      <c r="B740" s="120" t="b">
        <v>0</v>
      </c>
      <c r="C740" s="120">
        <v>0</v>
      </c>
      <c r="D740" s="61">
        <v>2</v>
      </c>
      <c r="E740" s="120">
        <v>1</v>
      </c>
      <c r="F740" s="120" t="s">
        <v>180</v>
      </c>
      <c r="G740" s="55">
        <v>250</v>
      </c>
      <c r="H740" s="120">
        <v>1114</v>
      </c>
      <c r="I740" s="57">
        <v>140</v>
      </c>
      <c r="J740" s="120">
        <v>150</v>
      </c>
      <c r="K740" s="120">
        <v>4</v>
      </c>
      <c r="L740" s="120">
        <v>100</v>
      </c>
      <c r="M740" s="120">
        <v>15</v>
      </c>
      <c r="N740" s="120">
        <v>40</v>
      </c>
      <c r="O740" s="120">
        <v>2</v>
      </c>
      <c r="P740" s="120">
        <v>-9999</v>
      </c>
      <c r="Q740" s="120">
        <v>262.5</v>
      </c>
      <c r="R740" s="120">
        <v>209.19999694824199</v>
      </c>
      <c r="S740" s="148">
        <v>18.799999237060501</v>
      </c>
      <c r="T740" s="120">
        <v>-9999</v>
      </c>
      <c r="U740" s="120">
        <v>20</v>
      </c>
      <c r="V740" s="120">
        <v>-9999</v>
      </c>
      <c r="W740" s="120">
        <v>-9999</v>
      </c>
      <c r="X740" s="120">
        <v>-9999</v>
      </c>
      <c r="Y740" s="120">
        <v>-9999</v>
      </c>
      <c r="Z740" s="120">
        <v>-9999</v>
      </c>
      <c r="AA740" s="120">
        <v>68</v>
      </c>
      <c r="AB740" s="120">
        <v>14.5</v>
      </c>
      <c r="AC740" s="120">
        <v>739</v>
      </c>
      <c r="AD740" s="120">
        <v>2011</v>
      </c>
      <c r="AE740" s="120">
        <v>-9999</v>
      </c>
      <c r="AF740" s="120">
        <v>-9999</v>
      </c>
      <c r="AG740" s="120">
        <v>-9999</v>
      </c>
    </row>
    <row r="741" spans="1:33" x14ac:dyDescent="0.25">
      <c r="A741" s="120">
        <v>740</v>
      </c>
      <c r="B741" s="120" t="b">
        <v>0</v>
      </c>
      <c r="C741" s="120">
        <v>0</v>
      </c>
      <c r="D741" s="61">
        <v>2</v>
      </c>
      <c r="E741" s="120">
        <v>1</v>
      </c>
      <c r="F741" s="120" t="s">
        <v>180</v>
      </c>
      <c r="G741" s="55">
        <v>250</v>
      </c>
      <c r="H741" s="120">
        <v>1114</v>
      </c>
      <c r="I741" s="57">
        <v>140</v>
      </c>
      <c r="J741" s="120">
        <v>150</v>
      </c>
      <c r="K741" s="120">
        <v>11</v>
      </c>
      <c r="L741" s="120">
        <v>60</v>
      </c>
      <c r="M741" s="120">
        <v>15</v>
      </c>
      <c r="N741" s="120">
        <v>40</v>
      </c>
      <c r="O741" s="120">
        <v>2</v>
      </c>
      <c r="P741" s="120">
        <v>25</v>
      </c>
      <c r="Q741" s="120">
        <v>262.5</v>
      </c>
      <c r="R741" s="120">
        <v>209.19999694824199</v>
      </c>
      <c r="S741" s="148">
        <v>18.799999237060501</v>
      </c>
      <c r="T741" s="120">
        <v>70</v>
      </c>
      <c r="U741" s="120">
        <v>20</v>
      </c>
      <c r="V741" s="120">
        <v>-9999</v>
      </c>
      <c r="W741" s="120">
        <v>-9999</v>
      </c>
      <c r="X741" s="120">
        <v>-9999</v>
      </c>
      <c r="Y741" s="120">
        <v>-9999</v>
      </c>
      <c r="Z741" s="120">
        <v>-9999</v>
      </c>
      <c r="AA741" s="120">
        <v>68</v>
      </c>
      <c r="AB741" s="120">
        <v>14.5</v>
      </c>
      <c r="AC741" s="120">
        <v>740</v>
      </c>
      <c r="AD741" s="120">
        <v>2012</v>
      </c>
      <c r="AE741" s="120">
        <v>-9999</v>
      </c>
      <c r="AF741" s="120">
        <v>-9999</v>
      </c>
      <c r="AG741" s="120">
        <v>-9999</v>
      </c>
    </row>
    <row r="742" spans="1:33" x14ac:dyDescent="0.25">
      <c r="A742" s="120">
        <v>741</v>
      </c>
      <c r="B742" s="120" t="b">
        <v>0</v>
      </c>
      <c r="C742" s="120">
        <v>0</v>
      </c>
      <c r="D742" s="61">
        <v>2</v>
      </c>
      <c r="E742" s="120">
        <v>1</v>
      </c>
      <c r="F742" s="120" t="s">
        <v>180</v>
      </c>
      <c r="G742" s="55">
        <v>250</v>
      </c>
      <c r="H742" s="120">
        <v>907</v>
      </c>
      <c r="I742" s="57">
        <v>200</v>
      </c>
      <c r="J742" s="120">
        <v>210</v>
      </c>
      <c r="K742" s="120">
        <v>1</v>
      </c>
      <c r="L742" s="120">
        <v>50</v>
      </c>
      <c r="M742" s="120">
        <v>15</v>
      </c>
      <c r="N742" s="120">
        <v>40</v>
      </c>
      <c r="O742" s="120">
        <v>2</v>
      </c>
      <c r="P742" s="120">
        <v>5</v>
      </c>
      <c r="Q742" s="120">
        <v>262.5</v>
      </c>
      <c r="R742" s="120">
        <v>209.19999694824199</v>
      </c>
      <c r="S742" s="148">
        <v>23.100000381469702</v>
      </c>
      <c r="T742" s="120">
        <v>65</v>
      </c>
      <c r="U742" s="120">
        <v>20</v>
      </c>
      <c r="V742" s="120">
        <v>-9999</v>
      </c>
      <c r="W742" s="120">
        <v>-9999</v>
      </c>
      <c r="X742" s="120">
        <v>-9999</v>
      </c>
      <c r="Y742" s="120">
        <v>-9999</v>
      </c>
      <c r="Z742" s="120">
        <v>-9999</v>
      </c>
      <c r="AA742" s="120">
        <v>68</v>
      </c>
      <c r="AB742" s="120">
        <v>14.5</v>
      </c>
      <c r="AC742" s="120">
        <v>741</v>
      </c>
      <c r="AD742" s="120">
        <v>2013</v>
      </c>
      <c r="AE742" s="120">
        <v>-9999</v>
      </c>
      <c r="AF742" s="120">
        <v>-9999</v>
      </c>
      <c r="AG742" s="120">
        <v>-9999</v>
      </c>
    </row>
    <row r="743" spans="1:33" x14ac:dyDescent="0.25">
      <c r="A743" s="120">
        <v>742</v>
      </c>
      <c r="B743" s="120" t="b">
        <v>0</v>
      </c>
      <c r="C743" s="120">
        <v>0</v>
      </c>
      <c r="D743" s="61">
        <v>2</v>
      </c>
      <c r="E743" s="120">
        <v>1</v>
      </c>
      <c r="F743" s="120" t="s">
        <v>180</v>
      </c>
      <c r="G743" s="55">
        <v>250</v>
      </c>
      <c r="H743" s="120">
        <v>950</v>
      </c>
      <c r="I743" s="57">
        <v>200</v>
      </c>
      <c r="J743" s="120">
        <v>200</v>
      </c>
      <c r="K743" s="120">
        <v>2</v>
      </c>
      <c r="L743" s="120">
        <v>50</v>
      </c>
      <c r="M743" s="120">
        <v>15</v>
      </c>
      <c r="N743" s="120">
        <v>40</v>
      </c>
      <c r="O743" s="120">
        <v>2</v>
      </c>
      <c r="P743" s="120">
        <v>20</v>
      </c>
      <c r="Q743" s="120">
        <v>275</v>
      </c>
      <c r="R743" s="120">
        <v>219.19999694824199</v>
      </c>
      <c r="S743" s="148">
        <v>23.100000381469702</v>
      </c>
      <c r="T743" s="120">
        <v>65</v>
      </c>
      <c r="U743" s="120">
        <v>20</v>
      </c>
      <c r="V743" s="120">
        <v>-9999</v>
      </c>
      <c r="W743" s="120">
        <v>-9999</v>
      </c>
      <c r="X743" s="120">
        <v>-9999</v>
      </c>
      <c r="Y743" s="120">
        <v>-9999</v>
      </c>
      <c r="Z743" s="120">
        <v>-9999</v>
      </c>
      <c r="AA743" s="120">
        <v>68</v>
      </c>
      <c r="AB743" s="120">
        <v>14.5</v>
      </c>
      <c r="AC743" s="120">
        <v>742</v>
      </c>
      <c r="AD743" s="120">
        <v>2014</v>
      </c>
      <c r="AE743" s="120">
        <v>-9999</v>
      </c>
      <c r="AF743" s="120">
        <v>-9999</v>
      </c>
      <c r="AG743" s="120">
        <v>-9999</v>
      </c>
    </row>
    <row r="744" spans="1:33" x14ac:dyDescent="0.25">
      <c r="A744" s="120">
        <v>743</v>
      </c>
      <c r="B744" s="120" t="b">
        <v>0</v>
      </c>
      <c r="C744" s="120">
        <v>0</v>
      </c>
      <c r="D744" s="61">
        <v>2</v>
      </c>
      <c r="E744" s="120">
        <v>1</v>
      </c>
      <c r="F744" s="120" t="s">
        <v>180</v>
      </c>
      <c r="G744" s="55">
        <v>250</v>
      </c>
      <c r="H744" s="120">
        <v>950</v>
      </c>
      <c r="I744" s="57">
        <v>200</v>
      </c>
      <c r="J744" s="120">
        <v>200</v>
      </c>
      <c r="K744" s="120">
        <v>3</v>
      </c>
      <c r="L744" s="120">
        <v>40</v>
      </c>
      <c r="M744" s="120">
        <v>15</v>
      </c>
      <c r="N744" s="120">
        <v>40</v>
      </c>
      <c r="O744" s="120">
        <v>2</v>
      </c>
      <c r="P744" s="120">
        <v>16.666999816894499</v>
      </c>
      <c r="Q744" s="120">
        <v>275</v>
      </c>
      <c r="R744" s="120">
        <v>219.19999694824199</v>
      </c>
      <c r="S744" s="148">
        <v>23.100000381469702</v>
      </c>
      <c r="T744" s="120">
        <v>57</v>
      </c>
      <c r="U744" s="120">
        <v>20</v>
      </c>
      <c r="V744" s="120">
        <v>-9999</v>
      </c>
      <c r="W744" s="120">
        <v>-9999</v>
      </c>
      <c r="X744" s="120">
        <v>-9999</v>
      </c>
      <c r="Y744" s="120">
        <v>-9999</v>
      </c>
      <c r="Z744" s="120">
        <v>-9999</v>
      </c>
      <c r="AA744" s="120">
        <v>68</v>
      </c>
      <c r="AB744" s="120">
        <v>14.5</v>
      </c>
      <c r="AC744" s="120">
        <v>743</v>
      </c>
      <c r="AD744" s="120">
        <v>2015</v>
      </c>
      <c r="AE744" s="120">
        <v>-9999</v>
      </c>
      <c r="AF744" s="120">
        <v>-9999</v>
      </c>
      <c r="AG744" s="120">
        <v>-9999</v>
      </c>
    </row>
    <row r="745" spans="1:33" x14ac:dyDescent="0.25">
      <c r="A745" s="120">
        <v>744</v>
      </c>
      <c r="B745" s="120" t="b">
        <v>0</v>
      </c>
      <c r="C745" s="120">
        <v>0</v>
      </c>
      <c r="D745" s="61">
        <v>2</v>
      </c>
      <c r="E745" s="120">
        <v>1</v>
      </c>
      <c r="F745" s="120" t="s">
        <v>180</v>
      </c>
      <c r="G745" s="55">
        <v>250</v>
      </c>
      <c r="H745" s="120">
        <v>907</v>
      </c>
      <c r="I745" s="57">
        <v>200</v>
      </c>
      <c r="J745" s="120">
        <v>210</v>
      </c>
      <c r="K745" s="120">
        <v>4</v>
      </c>
      <c r="L745" s="120">
        <v>100</v>
      </c>
      <c r="M745" s="120">
        <v>15</v>
      </c>
      <c r="N745" s="120">
        <v>40</v>
      </c>
      <c r="O745" s="120">
        <v>2</v>
      </c>
      <c r="P745" s="120">
        <v>-9999</v>
      </c>
      <c r="Q745" s="120">
        <v>262.5</v>
      </c>
      <c r="R745" s="120">
        <v>209.19999694824199</v>
      </c>
      <c r="S745" s="148">
        <v>23.100000381469702</v>
      </c>
      <c r="T745" s="120">
        <v>-9999</v>
      </c>
      <c r="U745" s="120">
        <v>20</v>
      </c>
      <c r="V745" s="120">
        <v>-9999</v>
      </c>
      <c r="W745" s="120">
        <v>-9999</v>
      </c>
      <c r="X745" s="120">
        <v>-9999</v>
      </c>
      <c r="Y745" s="120">
        <v>-9999</v>
      </c>
      <c r="Z745" s="120">
        <v>-9999</v>
      </c>
      <c r="AA745" s="120">
        <v>68</v>
      </c>
      <c r="AB745" s="120">
        <v>14.5</v>
      </c>
      <c r="AC745" s="120">
        <v>744</v>
      </c>
      <c r="AD745" s="120">
        <v>2016</v>
      </c>
      <c r="AE745" s="120">
        <v>-9999</v>
      </c>
      <c r="AF745" s="120">
        <v>-9999</v>
      </c>
      <c r="AG745" s="120">
        <v>-9999</v>
      </c>
    </row>
    <row r="746" spans="1:33" x14ac:dyDescent="0.25">
      <c r="A746" s="120">
        <v>745</v>
      </c>
      <c r="B746" s="120" t="b">
        <v>0</v>
      </c>
      <c r="C746" s="120">
        <v>0</v>
      </c>
      <c r="D746" s="61">
        <v>2</v>
      </c>
      <c r="E746" s="120">
        <v>1</v>
      </c>
      <c r="F746" s="120" t="s">
        <v>180</v>
      </c>
      <c r="G746" s="55">
        <v>250</v>
      </c>
      <c r="H746" s="120">
        <v>907</v>
      </c>
      <c r="I746" s="57">
        <v>200</v>
      </c>
      <c r="J746" s="120">
        <v>210</v>
      </c>
      <c r="K746" s="120">
        <v>11</v>
      </c>
      <c r="L746" s="120">
        <v>60</v>
      </c>
      <c r="M746" s="120">
        <v>15</v>
      </c>
      <c r="N746" s="120">
        <v>40</v>
      </c>
      <c r="O746" s="120">
        <v>2</v>
      </c>
      <c r="P746" s="120">
        <v>25</v>
      </c>
      <c r="Q746" s="120">
        <v>262.5</v>
      </c>
      <c r="R746" s="120">
        <v>209.19999694824199</v>
      </c>
      <c r="S746" s="148">
        <v>23.100000381469702</v>
      </c>
      <c r="T746" s="120">
        <v>70</v>
      </c>
      <c r="U746" s="120">
        <v>20</v>
      </c>
      <c r="V746" s="120">
        <v>-9999</v>
      </c>
      <c r="W746" s="120">
        <v>-9999</v>
      </c>
      <c r="X746" s="120">
        <v>-9999</v>
      </c>
      <c r="Y746" s="120">
        <v>-9999</v>
      </c>
      <c r="Z746" s="120">
        <v>-9999</v>
      </c>
      <c r="AA746" s="120">
        <v>68</v>
      </c>
      <c r="AB746" s="120">
        <v>14.5</v>
      </c>
      <c r="AC746" s="120">
        <v>745</v>
      </c>
      <c r="AD746" s="120">
        <v>2017</v>
      </c>
      <c r="AE746" s="120">
        <v>-9999</v>
      </c>
      <c r="AF746" s="120">
        <v>-9999</v>
      </c>
      <c r="AG746" s="120">
        <v>-9999</v>
      </c>
    </row>
    <row r="747" spans="1:33" x14ac:dyDescent="0.25">
      <c r="A747" s="120">
        <v>746</v>
      </c>
      <c r="B747" s="120" t="b">
        <v>0</v>
      </c>
      <c r="C747" s="120">
        <v>0</v>
      </c>
      <c r="D747" s="61">
        <v>2</v>
      </c>
      <c r="E747" s="120">
        <v>1</v>
      </c>
      <c r="F747" s="120" t="s">
        <v>181</v>
      </c>
      <c r="G747" s="55">
        <v>300</v>
      </c>
      <c r="H747" s="120">
        <v>1629</v>
      </c>
      <c r="I747" s="57">
        <v>100</v>
      </c>
      <c r="J747" s="120">
        <v>110</v>
      </c>
      <c r="K747" s="120">
        <v>1</v>
      </c>
      <c r="L747" s="120">
        <v>50</v>
      </c>
      <c r="M747" s="120">
        <v>15</v>
      </c>
      <c r="N747" s="120">
        <v>40</v>
      </c>
      <c r="O747" s="120">
        <v>2</v>
      </c>
      <c r="P747" s="120">
        <v>5</v>
      </c>
      <c r="Q747" s="120">
        <v>315</v>
      </c>
      <c r="R747" s="120">
        <v>249.69999694824199</v>
      </c>
      <c r="S747" s="148">
        <v>15.300000190734901</v>
      </c>
      <c r="T747" s="120">
        <v>65</v>
      </c>
      <c r="U747" s="120">
        <v>20</v>
      </c>
      <c r="V747" s="120">
        <v>-9999</v>
      </c>
      <c r="W747" s="120">
        <v>-9999</v>
      </c>
      <c r="X747" s="120">
        <v>-9999</v>
      </c>
      <c r="Y747" s="120">
        <v>-9999</v>
      </c>
      <c r="Z747" s="120">
        <v>-9999</v>
      </c>
      <c r="AA747" s="120">
        <v>68</v>
      </c>
      <c r="AB747" s="120">
        <v>14.5</v>
      </c>
      <c r="AC747" s="120">
        <v>746</v>
      </c>
      <c r="AD747" s="120">
        <v>2018</v>
      </c>
      <c r="AE747" s="120">
        <v>-9999</v>
      </c>
      <c r="AF747" s="120">
        <v>-9999</v>
      </c>
      <c r="AG747" s="120">
        <v>-9999</v>
      </c>
    </row>
    <row r="748" spans="1:33" x14ac:dyDescent="0.25">
      <c r="A748" s="120">
        <v>747</v>
      </c>
      <c r="B748" s="120" t="b">
        <v>0</v>
      </c>
      <c r="C748" s="120">
        <v>0</v>
      </c>
      <c r="D748" s="61">
        <v>2</v>
      </c>
      <c r="E748" s="120">
        <v>1</v>
      </c>
      <c r="F748" s="120" t="s">
        <v>181</v>
      </c>
      <c r="G748" s="55">
        <v>300</v>
      </c>
      <c r="H748" s="120">
        <v>1707</v>
      </c>
      <c r="I748" s="57">
        <v>100</v>
      </c>
      <c r="J748" s="120">
        <v>100</v>
      </c>
      <c r="K748" s="120">
        <v>2</v>
      </c>
      <c r="L748" s="120">
        <v>50</v>
      </c>
      <c r="M748" s="120">
        <v>15</v>
      </c>
      <c r="N748" s="120">
        <v>40</v>
      </c>
      <c r="O748" s="120">
        <v>2</v>
      </c>
      <c r="P748" s="120">
        <v>20</v>
      </c>
      <c r="Q748" s="120">
        <v>330</v>
      </c>
      <c r="R748" s="120">
        <v>261.60000610351602</v>
      </c>
      <c r="S748" s="148">
        <v>15.300000190734901</v>
      </c>
      <c r="T748" s="120">
        <v>65</v>
      </c>
      <c r="U748" s="120">
        <v>20</v>
      </c>
      <c r="V748" s="120">
        <v>-9999</v>
      </c>
      <c r="W748" s="120">
        <v>-9999</v>
      </c>
      <c r="X748" s="120">
        <v>-9999</v>
      </c>
      <c r="Y748" s="120">
        <v>-9999</v>
      </c>
      <c r="Z748" s="120">
        <v>-9999</v>
      </c>
      <c r="AA748" s="120">
        <v>68</v>
      </c>
      <c r="AB748" s="120">
        <v>14.5</v>
      </c>
      <c r="AC748" s="120">
        <v>747</v>
      </c>
      <c r="AD748" s="120">
        <v>2019</v>
      </c>
      <c r="AE748" s="120">
        <v>-9999</v>
      </c>
      <c r="AF748" s="120">
        <v>-9999</v>
      </c>
      <c r="AG748" s="120">
        <v>-9999</v>
      </c>
    </row>
    <row r="749" spans="1:33" x14ac:dyDescent="0.25">
      <c r="A749" s="120">
        <v>748</v>
      </c>
      <c r="B749" s="120" t="b">
        <v>0</v>
      </c>
      <c r="C749" s="120">
        <v>0</v>
      </c>
      <c r="D749" s="61">
        <v>2</v>
      </c>
      <c r="E749" s="120">
        <v>1</v>
      </c>
      <c r="F749" s="120" t="s">
        <v>181</v>
      </c>
      <c r="G749" s="55">
        <v>300</v>
      </c>
      <c r="H749" s="120">
        <v>1707</v>
      </c>
      <c r="I749" s="57">
        <v>100</v>
      </c>
      <c r="J749" s="120">
        <v>100</v>
      </c>
      <c r="K749" s="120">
        <v>3</v>
      </c>
      <c r="L749" s="120">
        <v>40</v>
      </c>
      <c r="M749" s="120">
        <v>15</v>
      </c>
      <c r="N749" s="120">
        <v>40</v>
      </c>
      <c r="O749" s="120">
        <v>2</v>
      </c>
      <c r="P749" s="120">
        <v>16.666999816894499</v>
      </c>
      <c r="Q749" s="120">
        <v>330</v>
      </c>
      <c r="R749" s="120">
        <v>261.60000610351602</v>
      </c>
      <c r="S749" s="148">
        <v>15.300000190734901</v>
      </c>
      <c r="T749" s="120">
        <v>57</v>
      </c>
      <c r="U749" s="120">
        <v>20</v>
      </c>
      <c r="V749" s="120">
        <v>-9999</v>
      </c>
      <c r="W749" s="120">
        <v>-9999</v>
      </c>
      <c r="X749" s="120">
        <v>-9999</v>
      </c>
      <c r="Y749" s="120">
        <v>-9999</v>
      </c>
      <c r="Z749" s="120">
        <v>-9999</v>
      </c>
      <c r="AA749" s="120">
        <v>68</v>
      </c>
      <c r="AB749" s="120">
        <v>14.5</v>
      </c>
      <c r="AC749" s="120">
        <v>748</v>
      </c>
      <c r="AD749" s="120">
        <v>2020</v>
      </c>
      <c r="AE749" s="120">
        <v>-9999</v>
      </c>
      <c r="AF749" s="120">
        <v>-9999</v>
      </c>
      <c r="AG749" s="120">
        <v>-9999</v>
      </c>
    </row>
    <row r="750" spans="1:33" x14ac:dyDescent="0.25">
      <c r="A750" s="120">
        <v>749</v>
      </c>
      <c r="B750" s="120" t="b">
        <v>0</v>
      </c>
      <c r="C750" s="120">
        <v>0</v>
      </c>
      <c r="D750" s="61">
        <v>2</v>
      </c>
      <c r="E750" s="120">
        <v>1</v>
      </c>
      <c r="F750" s="120" t="s">
        <v>181</v>
      </c>
      <c r="G750" s="55">
        <v>300</v>
      </c>
      <c r="H750" s="120">
        <v>1629</v>
      </c>
      <c r="I750" s="57">
        <v>100</v>
      </c>
      <c r="J750" s="120">
        <v>110</v>
      </c>
      <c r="K750" s="120">
        <v>4</v>
      </c>
      <c r="L750" s="120">
        <v>100</v>
      </c>
      <c r="M750" s="120">
        <v>15</v>
      </c>
      <c r="N750" s="120">
        <v>40</v>
      </c>
      <c r="O750" s="120">
        <v>2</v>
      </c>
      <c r="P750" s="120">
        <v>-9999</v>
      </c>
      <c r="Q750" s="120">
        <v>315</v>
      </c>
      <c r="R750" s="120">
        <v>249.69999694824199</v>
      </c>
      <c r="S750" s="148">
        <v>15.300000190734901</v>
      </c>
      <c r="T750" s="120">
        <v>-9999</v>
      </c>
      <c r="U750" s="120">
        <v>20</v>
      </c>
      <c r="V750" s="120">
        <v>-9999</v>
      </c>
      <c r="W750" s="120">
        <v>-9999</v>
      </c>
      <c r="X750" s="120">
        <v>-9999</v>
      </c>
      <c r="Y750" s="120">
        <v>-9999</v>
      </c>
      <c r="Z750" s="120">
        <v>-9999</v>
      </c>
      <c r="AA750" s="120">
        <v>68</v>
      </c>
      <c r="AB750" s="120">
        <v>14.5</v>
      </c>
      <c r="AC750" s="120">
        <v>749</v>
      </c>
      <c r="AD750" s="120">
        <v>2021</v>
      </c>
      <c r="AE750" s="120">
        <v>-9999</v>
      </c>
      <c r="AF750" s="120">
        <v>-9999</v>
      </c>
      <c r="AG750" s="120">
        <v>-9999</v>
      </c>
    </row>
    <row r="751" spans="1:33" x14ac:dyDescent="0.25">
      <c r="A751" s="120">
        <v>750</v>
      </c>
      <c r="B751" s="120" t="b">
        <v>0</v>
      </c>
      <c r="C751" s="120">
        <v>0</v>
      </c>
      <c r="D751" s="61">
        <v>2</v>
      </c>
      <c r="E751" s="120">
        <v>1</v>
      </c>
      <c r="F751" s="120" t="s">
        <v>181</v>
      </c>
      <c r="G751" s="55">
        <v>300</v>
      </c>
      <c r="H751" s="120">
        <v>1629</v>
      </c>
      <c r="I751" s="57">
        <v>100</v>
      </c>
      <c r="J751" s="120">
        <v>110</v>
      </c>
      <c r="K751" s="120">
        <v>11</v>
      </c>
      <c r="L751" s="120">
        <v>60</v>
      </c>
      <c r="M751" s="120">
        <v>15</v>
      </c>
      <c r="N751" s="120">
        <v>40</v>
      </c>
      <c r="O751" s="120">
        <v>2</v>
      </c>
      <c r="P751" s="120">
        <v>25</v>
      </c>
      <c r="Q751" s="120">
        <v>315</v>
      </c>
      <c r="R751" s="120">
        <v>249.69999694824199</v>
      </c>
      <c r="S751" s="148">
        <v>15.300000190734901</v>
      </c>
      <c r="T751" s="120">
        <v>70</v>
      </c>
      <c r="U751" s="120">
        <v>20</v>
      </c>
      <c r="V751" s="120">
        <v>-9999</v>
      </c>
      <c r="W751" s="120">
        <v>-9999</v>
      </c>
      <c r="X751" s="120">
        <v>-9999</v>
      </c>
      <c r="Y751" s="120">
        <v>-9999</v>
      </c>
      <c r="Z751" s="120">
        <v>-9999</v>
      </c>
      <c r="AA751" s="120">
        <v>68</v>
      </c>
      <c r="AB751" s="120">
        <v>14.5</v>
      </c>
      <c r="AC751" s="120">
        <v>750</v>
      </c>
      <c r="AD751" s="120">
        <v>2022</v>
      </c>
      <c r="AE751" s="120">
        <v>-9999</v>
      </c>
      <c r="AF751" s="120">
        <v>-9999</v>
      </c>
      <c r="AG751" s="120">
        <v>-9999</v>
      </c>
    </row>
    <row r="752" spans="1:33" x14ac:dyDescent="0.25">
      <c r="A752" s="120">
        <v>751</v>
      </c>
      <c r="B752" s="120" t="b">
        <v>0</v>
      </c>
      <c r="C752" s="120">
        <v>0</v>
      </c>
      <c r="D752" s="61">
        <v>2</v>
      </c>
      <c r="E752" s="120">
        <v>1</v>
      </c>
      <c r="F752" s="120" t="s">
        <v>181</v>
      </c>
      <c r="G752" s="55">
        <v>300</v>
      </c>
      <c r="H752" s="120">
        <v>1409</v>
      </c>
      <c r="I752" s="57">
        <v>125</v>
      </c>
      <c r="J752" s="120">
        <v>135</v>
      </c>
      <c r="K752" s="120">
        <v>1</v>
      </c>
      <c r="L752" s="120">
        <v>50</v>
      </c>
      <c r="M752" s="120">
        <v>15</v>
      </c>
      <c r="N752" s="120">
        <v>40</v>
      </c>
      <c r="O752" s="120">
        <v>2</v>
      </c>
      <c r="P752" s="120">
        <v>5</v>
      </c>
      <c r="Q752" s="120">
        <v>315</v>
      </c>
      <c r="R752" s="120">
        <v>249.69999694824199</v>
      </c>
      <c r="S752" s="148">
        <v>17.700000762939499</v>
      </c>
      <c r="T752" s="120">
        <v>65</v>
      </c>
      <c r="U752" s="120">
        <v>20</v>
      </c>
      <c r="V752" s="120">
        <v>-9999</v>
      </c>
      <c r="W752" s="120">
        <v>-9999</v>
      </c>
      <c r="X752" s="120">
        <v>-9999</v>
      </c>
      <c r="Y752" s="120">
        <v>-9999</v>
      </c>
      <c r="Z752" s="120">
        <v>-9999</v>
      </c>
      <c r="AA752" s="120">
        <v>68</v>
      </c>
      <c r="AB752" s="120">
        <v>14.5</v>
      </c>
      <c r="AC752" s="120">
        <v>751</v>
      </c>
      <c r="AD752" s="120">
        <v>2023</v>
      </c>
      <c r="AE752" s="120">
        <v>-9999</v>
      </c>
      <c r="AF752" s="120">
        <v>-9999</v>
      </c>
      <c r="AG752" s="120">
        <v>-9999</v>
      </c>
    </row>
    <row r="753" spans="1:33" x14ac:dyDescent="0.25">
      <c r="A753" s="120">
        <v>752</v>
      </c>
      <c r="B753" s="120" t="b">
        <v>0</v>
      </c>
      <c r="C753" s="120">
        <v>0</v>
      </c>
      <c r="D753" s="61">
        <v>2</v>
      </c>
      <c r="E753" s="120">
        <v>1</v>
      </c>
      <c r="F753" s="120" t="s">
        <v>181</v>
      </c>
      <c r="G753" s="55">
        <v>300</v>
      </c>
      <c r="H753" s="120">
        <v>1476</v>
      </c>
      <c r="I753" s="57">
        <v>125</v>
      </c>
      <c r="J753" s="120">
        <v>125</v>
      </c>
      <c r="K753" s="120">
        <v>2</v>
      </c>
      <c r="L753" s="120">
        <v>50</v>
      </c>
      <c r="M753" s="120">
        <v>15</v>
      </c>
      <c r="N753" s="120">
        <v>40</v>
      </c>
      <c r="O753" s="120">
        <v>2</v>
      </c>
      <c r="P753" s="120">
        <v>20</v>
      </c>
      <c r="Q753" s="120">
        <v>330</v>
      </c>
      <c r="R753" s="120">
        <v>261.60000610351602</v>
      </c>
      <c r="S753" s="148">
        <v>17.700000762939499</v>
      </c>
      <c r="T753" s="120">
        <v>65</v>
      </c>
      <c r="U753" s="120">
        <v>20</v>
      </c>
      <c r="V753" s="120">
        <v>-9999</v>
      </c>
      <c r="W753" s="120">
        <v>-9999</v>
      </c>
      <c r="X753" s="120">
        <v>-9999</v>
      </c>
      <c r="Y753" s="120">
        <v>-9999</v>
      </c>
      <c r="Z753" s="120">
        <v>-9999</v>
      </c>
      <c r="AA753" s="120">
        <v>68</v>
      </c>
      <c r="AB753" s="120">
        <v>14.5</v>
      </c>
      <c r="AC753" s="120">
        <v>752</v>
      </c>
      <c r="AD753" s="120">
        <v>2024</v>
      </c>
      <c r="AE753" s="120">
        <v>-9999</v>
      </c>
      <c r="AF753" s="120">
        <v>-9999</v>
      </c>
      <c r="AG753" s="120">
        <v>-9999</v>
      </c>
    </row>
    <row r="754" spans="1:33" x14ac:dyDescent="0.25">
      <c r="A754" s="120">
        <v>753</v>
      </c>
      <c r="B754" s="120" t="b">
        <v>0</v>
      </c>
      <c r="C754" s="120">
        <v>0</v>
      </c>
      <c r="D754" s="61">
        <v>2</v>
      </c>
      <c r="E754" s="120">
        <v>1</v>
      </c>
      <c r="F754" s="120" t="s">
        <v>181</v>
      </c>
      <c r="G754" s="55">
        <v>300</v>
      </c>
      <c r="H754" s="120">
        <v>1476</v>
      </c>
      <c r="I754" s="57">
        <v>125</v>
      </c>
      <c r="J754" s="120">
        <v>125</v>
      </c>
      <c r="K754" s="120">
        <v>3</v>
      </c>
      <c r="L754" s="120">
        <v>40</v>
      </c>
      <c r="M754" s="120">
        <v>15</v>
      </c>
      <c r="N754" s="120">
        <v>40</v>
      </c>
      <c r="O754" s="120">
        <v>2</v>
      </c>
      <c r="P754" s="120">
        <v>16.666999816894499</v>
      </c>
      <c r="Q754" s="120">
        <v>330</v>
      </c>
      <c r="R754" s="120">
        <v>261.60000610351602</v>
      </c>
      <c r="S754" s="148">
        <v>17.700000762939499</v>
      </c>
      <c r="T754" s="120">
        <v>57</v>
      </c>
      <c r="U754" s="120">
        <v>20</v>
      </c>
      <c r="V754" s="120">
        <v>-9999</v>
      </c>
      <c r="W754" s="120">
        <v>-9999</v>
      </c>
      <c r="X754" s="120">
        <v>-9999</v>
      </c>
      <c r="Y754" s="120">
        <v>-9999</v>
      </c>
      <c r="Z754" s="120">
        <v>-9999</v>
      </c>
      <c r="AA754" s="120">
        <v>68</v>
      </c>
      <c r="AB754" s="120">
        <v>14.5</v>
      </c>
      <c r="AC754" s="120">
        <v>753</v>
      </c>
      <c r="AD754" s="120">
        <v>2025</v>
      </c>
      <c r="AE754" s="120">
        <v>-9999</v>
      </c>
      <c r="AF754" s="120">
        <v>-9999</v>
      </c>
      <c r="AG754" s="120">
        <v>-9999</v>
      </c>
    </row>
    <row r="755" spans="1:33" x14ac:dyDescent="0.25">
      <c r="A755" s="120">
        <v>754</v>
      </c>
      <c r="B755" s="120" t="b">
        <v>0</v>
      </c>
      <c r="C755" s="120">
        <v>0</v>
      </c>
      <c r="D755" s="61">
        <v>2</v>
      </c>
      <c r="E755" s="120">
        <v>1</v>
      </c>
      <c r="F755" s="120" t="s">
        <v>181</v>
      </c>
      <c r="G755" s="55">
        <v>300</v>
      </c>
      <c r="H755" s="120">
        <v>1409</v>
      </c>
      <c r="I755" s="57">
        <v>125</v>
      </c>
      <c r="J755" s="120">
        <v>135</v>
      </c>
      <c r="K755" s="120">
        <v>4</v>
      </c>
      <c r="L755" s="120">
        <v>100</v>
      </c>
      <c r="M755" s="120">
        <v>15</v>
      </c>
      <c r="N755" s="120">
        <v>40</v>
      </c>
      <c r="O755" s="120">
        <v>2</v>
      </c>
      <c r="P755" s="120">
        <v>-9999</v>
      </c>
      <c r="Q755" s="120">
        <v>315</v>
      </c>
      <c r="R755" s="120">
        <v>249.69999694824199</v>
      </c>
      <c r="S755" s="148">
        <v>17.700000762939499</v>
      </c>
      <c r="T755" s="120">
        <v>-9999</v>
      </c>
      <c r="U755" s="120">
        <v>20</v>
      </c>
      <c r="V755" s="120">
        <v>-9999</v>
      </c>
      <c r="W755" s="120">
        <v>-9999</v>
      </c>
      <c r="X755" s="120">
        <v>-9999</v>
      </c>
      <c r="Y755" s="120">
        <v>-9999</v>
      </c>
      <c r="Z755" s="120">
        <v>-9999</v>
      </c>
      <c r="AA755" s="120">
        <v>68</v>
      </c>
      <c r="AB755" s="120">
        <v>14.5</v>
      </c>
      <c r="AC755" s="120">
        <v>754</v>
      </c>
      <c r="AD755" s="120">
        <v>2026</v>
      </c>
      <c r="AE755" s="120">
        <v>-9999</v>
      </c>
      <c r="AF755" s="120">
        <v>-9999</v>
      </c>
      <c r="AG755" s="120">
        <v>-9999</v>
      </c>
    </row>
    <row r="756" spans="1:33" x14ac:dyDescent="0.25">
      <c r="A756" s="120">
        <v>755</v>
      </c>
      <c r="B756" s="120" t="b">
        <v>0</v>
      </c>
      <c r="C756" s="120">
        <v>0</v>
      </c>
      <c r="D756" s="61">
        <v>2</v>
      </c>
      <c r="E756" s="120">
        <v>1</v>
      </c>
      <c r="F756" s="120" t="s">
        <v>181</v>
      </c>
      <c r="G756" s="55">
        <v>300</v>
      </c>
      <c r="H756" s="120">
        <v>1409</v>
      </c>
      <c r="I756" s="57">
        <v>125</v>
      </c>
      <c r="J756" s="120">
        <v>135</v>
      </c>
      <c r="K756" s="120">
        <v>11</v>
      </c>
      <c r="L756" s="120">
        <v>60</v>
      </c>
      <c r="M756" s="120">
        <v>15</v>
      </c>
      <c r="N756" s="120">
        <v>40</v>
      </c>
      <c r="O756" s="120">
        <v>2</v>
      </c>
      <c r="P756" s="120">
        <v>25</v>
      </c>
      <c r="Q756" s="120">
        <v>315</v>
      </c>
      <c r="R756" s="120">
        <v>249.69999694824199</v>
      </c>
      <c r="S756" s="148">
        <v>17.700000762939499</v>
      </c>
      <c r="T756" s="120">
        <v>70</v>
      </c>
      <c r="U756" s="120">
        <v>20</v>
      </c>
      <c r="V756" s="120">
        <v>-9999</v>
      </c>
      <c r="W756" s="120">
        <v>-9999</v>
      </c>
      <c r="X756" s="120">
        <v>-9999</v>
      </c>
      <c r="Y756" s="120">
        <v>-9999</v>
      </c>
      <c r="Z756" s="120">
        <v>-9999</v>
      </c>
      <c r="AA756" s="120">
        <v>68</v>
      </c>
      <c r="AB756" s="120">
        <v>14.5</v>
      </c>
      <c r="AC756" s="120">
        <v>755</v>
      </c>
      <c r="AD756" s="120">
        <v>2027</v>
      </c>
      <c r="AE756" s="120">
        <v>-9999</v>
      </c>
      <c r="AF756" s="120">
        <v>-9999</v>
      </c>
      <c r="AG756" s="120">
        <v>-9999</v>
      </c>
    </row>
    <row r="757" spans="1:33" x14ac:dyDescent="0.25">
      <c r="A757" s="120">
        <v>756</v>
      </c>
      <c r="B757" s="120" t="b">
        <v>0</v>
      </c>
      <c r="C757" s="120">
        <v>0</v>
      </c>
      <c r="D757" s="61">
        <v>2</v>
      </c>
      <c r="E757" s="120">
        <v>1</v>
      </c>
      <c r="F757" s="120" t="s">
        <v>181</v>
      </c>
      <c r="G757" s="55">
        <v>300</v>
      </c>
      <c r="H757" s="120">
        <v>1363</v>
      </c>
      <c r="I757" s="57">
        <v>140</v>
      </c>
      <c r="J757" s="120">
        <v>150</v>
      </c>
      <c r="K757" s="120">
        <v>1</v>
      </c>
      <c r="L757" s="120">
        <v>50</v>
      </c>
      <c r="M757" s="120">
        <v>15</v>
      </c>
      <c r="N757" s="120">
        <v>40</v>
      </c>
      <c r="O757" s="120">
        <v>2</v>
      </c>
      <c r="P757" s="120">
        <v>5</v>
      </c>
      <c r="Q757" s="120">
        <v>315</v>
      </c>
      <c r="R757" s="120">
        <v>249.69999694824199</v>
      </c>
      <c r="S757" s="148">
        <v>18.299999237060501</v>
      </c>
      <c r="T757" s="120">
        <v>65</v>
      </c>
      <c r="U757" s="120">
        <v>20</v>
      </c>
      <c r="V757" s="120">
        <v>-9999</v>
      </c>
      <c r="W757" s="120">
        <v>-9999</v>
      </c>
      <c r="X757" s="120">
        <v>-9999</v>
      </c>
      <c r="Y757" s="120">
        <v>-9999</v>
      </c>
      <c r="Z757" s="120">
        <v>-9999</v>
      </c>
      <c r="AA757" s="120">
        <v>68</v>
      </c>
      <c r="AB757" s="120">
        <v>14.5</v>
      </c>
      <c r="AC757" s="120">
        <v>756</v>
      </c>
      <c r="AD757" s="120">
        <v>2028</v>
      </c>
      <c r="AE757" s="120">
        <v>-9999</v>
      </c>
      <c r="AF757" s="120">
        <v>-9999</v>
      </c>
      <c r="AG757" s="120">
        <v>-9999</v>
      </c>
    </row>
    <row r="758" spans="1:33" x14ac:dyDescent="0.25">
      <c r="A758" s="120">
        <v>757</v>
      </c>
      <c r="B758" s="120" t="b">
        <v>0</v>
      </c>
      <c r="C758" s="120">
        <v>0</v>
      </c>
      <c r="D758" s="61">
        <v>2</v>
      </c>
      <c r="E758" s="120">
        <v>1</v>
      </c>
      <c r="F758" s="120" t="s">
        <v>181</v>
      </c>
      <c r="G758" s="55">
        <v>300</v>
      </c>
      <c r="H758" s="120">
        <v>1428</v>
      </c>
      <c r="I758" s="57">
        <v>140</v>
      </c>
      <c r="J758" s="120">
        <v>140</v>
      </c>
      <c r="K758" s="120">
        <v>2</v>
      </c>
      <c r="L758" s="120">
        <v>50</v>
      </c>
      <c r="M758" s="120">
        <v>15</v>
      </c>
      <c r="N758" s="120">
        <v>40</v>
      </c>
      <c r="O758" s="120">
        <v>2</v>
      </c>
      <c r="P758" s="120">
        <v>20</v>
      </c>
      <c r="Q758" s="120">
        <v>330</v>
      </c>
      <c r="R758" s="120">
        <v>261.60000610351602</v>
      </c>
      <c r="S758" s="148">
        <v>18.299999237060501</v>
      </c>
      <c r="T758" s="120">
        <v>65</v>
      </c>
      <c r="U758" s="120">
        <v>20</v>
      </c>
      <c r="V758" s="120">
        <v>-9999</v>
      </c>
      <c r="W758" s="120">
        <v>-9999</v>
      </c>
      <c r="X758" s="120">
        <v>-9999</v>
      </c>
      <c r="Y758" s="120">
        <v>-9999</v>
      </c>
      <c r="Z758" s="120">
        <v>-9999</v>
      </c>
      <c r="AA758" s="120">
        <v>68</v>
      </c>
      <c r="AB758" s="120">
        <v>14.5</v>
      </c>
      <c r="AC758" s="120">
        <v>757</v>
      </c>
      <c r="AD758" s="120">
        <v>2029</v>
      </c>
      <c r="AE758" s="120">
        <v>-9999</v>
      </c>
      <c r="AF758" s="120">
        <v>-9999</v>
      </c>
      <c r="AG758" s="120">
        <v>-9999</v>
      </c>
    </row>
    <row r="759" spans="1:33" x14ac:dyDescent="0.25">
      <c r="A759" s="120">
        <v>758</v>
      </c>
      <c r="B759" s="120" t="b">
        <v>0</v>
      </c>
      <c r="C759" s="120">
        <v>0</v>
      </c>
      <c r="D759" s="61">
        <v>2</v>
      </c>
      <c r="E759" s="120">
        <v>1</v>
      </c>
      <c r="F759" s="120" t="s">
        <v>181</v>
      </c>
      <c r="G759" s="55">
        <v>300</v>
      </c>
      <c r="H759" s="120">
        <v>1428</v>
      </c>
      <c r="I759" s="57">
        <v>140</v>
      </c>
      <c r="J759" s="120">
        <v>140</v>
      </c>
      <c r="K759" s="120">
        <v>3</v>
      </c>
      <c r="L759" s="120">
        <v>40</v>
      </c>
      <c r="M759" s="120">
        <v>15</v>
      </c>
      <c r="N759" s="120">
        <v>40</v>
      </c>
      <c r="O759" s="120">
        <v>2</v>
      </c>
      <c r="P759" s="120">
        <v>16.666999816894499</v>
      </c>
      <c r="Q759" s="120">
        <v>330</v>
      </c>
      <c r="R759" s="120">
        <v>261.60000610351602</v>
      </c>
      <c r="S759" s="148">
        <v>18.299999237060501</v>
      </c>
      <c r="T759" s="120">
        <v>57</v>
      </c>
      <c r="U759" s="120">
        <v>20</v>
      </c>
      <c r="V759" s="120">
        <v>-9999</v>
      </c>
      <c r="W759" s="120">
        <v>-9999</v>
      </c>
      <c r="X759" s="120">
        <v>-9999</v>
      </c>
      <c r="Y759" s="120">
        <v>-9999</v>
      </c>
      <c r="Z759" s="120">
        <v>-9999</v>
      </c>
      <c r="AA759" s="120">
        <v>68</v>
      </c>
      <c r="AB759" s="120">
        <v>14.5</v>
      </c>
      <c r="AC759" s="120">
        <v>758</v>
      </c>
      <c r="AD759" s="120">
        <v>2030</v>
      </c>
      <c r="AE759" s="120">
        <v>-9999</v>
      </c>
      <c r="AF759" s="120">
        <v>-9999</v>
      </c>
      <c r="AG759" s="120">
        <v>-9999</v>
      </c>
    </row>
    <row r="760" spans="1:33" x14ac:dyDescent="0.25">
      <c r="A760" s="120">
        <v>759</v>
      </c>
      <c r="B760" s="120" t="b">
        <v>0</v>
      </c>
      <c r="C760" s="120">
        <v>0</v>
      </c>
      <c r="D760" s="61">
        <v>2</v>
      </c>
      <c r="E760" s="120">
        <v>1</v>
      </c>
      <c r="F760" s="120" t="s">
        <v>181</v>
      </c>
      <c r="G760" s="55">
        <v>300</v>
      </c>
      <c r="H760" s="120">
        <v>1363</v>
      </c>
      <c r="I760" s="57">
        <v>140</v>
      </c>
      <c r="J760" s="120">
        <v>150</v>
      </c>
      <c r="K760" s="120">
        <v>4</v>
      </c>
      <c r="L760" s="120">
        <v>100</v>
      </c>
      <c r="M760" s="120">
        <v>15</v>
      </c>
      <c r="N760" s="120">
        <v>40</v>
      </c>
      <c r="O760" s="120">
        <v>2</v>
      </c>
      <c r="P760" s="120">
        <v>-9999</v>
      </c>
      <c r="Q760" s="120">
        <v>315</v>
      </c>
      <c r="R760" s="120">
        <v>249.69999694824199</v>
      </c>
      <c r="S760" s="148">
        <v>18.299999237060501</v>
      </c>
      <c r="T760" s="120">
        <v>-9999</v>
      </c>
      <c r="U760" s="120">
        <v>20</v>
      </c>
      <c r="V760" s="120">
        <v>-9999</v>
      </c>
      <c r="W760" s="120">
        <v>-9999</v>
      </c>
      <c r="X760" s="120">
        <v>-9999</v>
      </c>
      <c r="Y760" s="120">
        <v>-9999</v>
      </c>
      <c r="Z760" s="120">
        <v>-9999</v>
      </c>
      <c r="AA760" s="120">
        <v>68</v>
      </c>
      <c r="AB760" s="120">
        <v>14.5</v>
      </c>
      <c r="AC760" s="120">
        <v>759</v>
      </c>
      <c r="AD760" s="120">
        <v>2031</v>
      </c>
      <c r="AE760" s="120">
        <v>-9999</v>
      </c>
      <c r="AF760" s="120">
        <v>-9999</v>
      </c>
      <c r="AG760" s="120">
        <v>-9999</v>
      </c>
    </row>
    <row r="761" spans="1:33" x14ac:dyDescent="0.25">
      <c r="A761" s="120">
        <v>760</v>
      </c>
      <c r="B761" s="120" t="b">
        <v>0</v>
      </c>
      <c r="C761" s="120">
        <v>0</v>
      </c>
      <c r="D761" s="61">
        <v>2</v>
      </c>
      <c r="E761" s="120">
        <v>1</v>
      </c>
      <c r="F761" s="120" t="s">
        <v>181</v>
      </c>
      <c r="G761" s="55">
        <v>300</v>
      </c>
      <c r="H761" s="120">
        <v>1363</v>
      </c>
      <c r="I761" s="57">
        <v>140</v>
      </c>
      <c r="J761" s="120">
        <v>150</v>
      </c>
      <c r="K761" s="120">
        <v>11</v>
      </c>
      <c r="L761" s="120">
        <v>60</v>
      </c>
      <c r="M761" s="120">
        <v>15</v>
      </c>
      <c r="N761" s="120">
        <v>40</v>
      </c>
      <c r="O761" s="120">
        <v>2</v>
      </c>
      <c r="P761" s="120">
        <v>25</v>
      </c>
      <c r="Q761" s="120">
        <v>315</v>
      </c>
      <c r="R761" s="120">
        <v>249.69999694824199</v>
      </c>
      <c r="S761" s="148">
        <v>18.299999237060501</v>
      </c>
      <c r="T761" s="120">
        <v>70</v>
      </c>
      <c r="U761" s="120">
        <v>20</v>
      </c>
      <c r="V761" s="120">
        <v>-9999</v>
      </c>
      <c r="W761" s="120">
        <v>-9999</v>
      </c>
      <c r="X761" s="120">
        <v>-9999</v>
      </c>
      <c r="Y761" s="120">
        <v>-9999</v>
      </c>
      <c r="Z761" s="120">
        <v>-9999</v>
      </c>
      <c r="AA761" s="120">
        <v>68</v>
      </c>
      <c r="AB761" s="120">
        <v>14.5</v>
      </c>
      <c r="AC761" s="120">
        <v>760</v>
      </c>
      <c r="AD761" s="120">
        <v>2032</v>
      </c>
      <c r="AE761" s="120">
        <v>-9999</v>
      </c>
      <c r="AF761" s="120">
        <v>-9999</v>
      </c>
      <c r="AG761" s="120">
        <v>-9999</v>
      </c>
    </row>
    <row r="762" spans="1:33" x14ac:dyDescent="0.25">
      <c r="A762" s="120">
        <v>761</v>
      </c>
      <c r="B762" s="120" t="b">
        <v>0</v>
      </c>
      <c r="C762" s="120">
        <v>0</v>
      </c>
      <c r="D762" s="61">
        <v>2</v>
      </c>
      <c r="E762" s="120">
        <v>1</v>
      </c>
      <c r="F762" s="120" t="s">
        <v>181</v>
      </c>
      <c r="G762" s="55">
        <v>300</v>
      </c>
      <c r="H762" s="120">
        <v>1091</v>
      </c>
      <c r="I762" s="57">
        <v>200</v>
      </c>
      <c r="J762" s="120">
        <v>210</v>
      </c>
      <c r="K762" s="120">
        <v>1</v>
      </c>
      <c r="L762" s="120">
        <v>50</v>
      </c>
      <c r="M762" s="120">
        <v>15</v>
      </c>
      <c r="N762" s="120">
        <v>40</v>
      </c>
      <c r="O762" s="120">
        <v>2</v>
      </c>
      <c r="P762" s="120">
        <v>5</v>
      </c>
      <c r="Q762" s="120">
        <v>315</v>
      </c>
      <c r="R762" s="120">
        <v>249.69999694824199</v>
      </c>
      <c r="S762" s="148">
        <v>22.899999618530298</v>
      </c>
      <c r="T762" s="120">
        <v>65</v>
      </c>
      <c r="U762" s="120">
        <v>20</v>
      </c>
      <c r="V762" s="120">
        <v>-9999</v>
      </c>
      <c r="W762" s="120">
        <v>-9999</v>
      </c>
      <c r="X762" s="120">
        <v>-9999</v>
      </c>
      <c r="Y762" s="120">
        <v>-9999</v>
      </c>
      <c r="Z762" s="120">
        <v>-9999</v>
      </c>
      <c r="AA762" s="120">
        <v>68</v>
      </c>
      <c r="AB762" s="120">
        <v>14.5</v>
      </c>
      <c r="AC762" s="120">
        <v>761</v>
      </c>
      <c r="AD762" s="120">
        <v>2033</v>
      </c>
      <c r="AE762" s="120">
        <v>-9999</v>
      </c>
      <c r="AF762" s="120">
        <v>-9999</v>
      </c>
      <c r="AG762" s="120">
        <v>-9999</v>
      </c>
    </row>
    <row r="763" spans="1:33" x14ac:dyDescent="0.25">
      <c r="A763" s="120">
        <v>762</v>
      </c>
      <c r="B763" s="120" t="b">
        <v>0</v>
      </c>
      <c r="C763" s="120">
        <v>0</v>
      </c>
      <c r="D763" s="61">
        <v>2</v>
      </c>
      <c r="E763" s="120">
        <v>1</v>
      </c>
      <c r="F763" s="120" t="s">
        <v>181</v>
      </c>
      <c r="G763" s="55">
        <v>300</v>
      </c>
      <c r="H763" s="120">
        <v>1143</v>
      </c>
      <c r="I763" s="57">
        <v>200</v>
      </c>
      <c r="J763" s="120">
        <v>200</v>
      </c>
      <c r="K763" s="120">
        <v>2</v>
      </c>
      <c r="L763" s="120">
        <v>50</v>
      </c>
      <c r="M763" s="120">
        <v>15</v>
      </c>
      <c r="N763" s="120">
        <v>40</v>
      </c>
      <c r="O763" s="120">
        <v>2</v>
      </c>
      <c r="P763" s="120">
        <v>20</v>
      </c>
      <c r="Q763" s="120">
        <v>330</v>
      </c>
      <c r="R763" s="120">
        <v>261.60000610351602</v>
      </c>
      <c r="S763" s="148">
        <v>22.899999618530298</v>
      </c>
      <c r="T763" s="120">
        <v>65</v>
      </c>
      <c r="U763" s="120">
        <v>20</v>
      </c>
      <c r="V763" s="120">
        <v>-9999</v>
      </c>
      <c r="W763" s="120">
        <v>-9999</v>
      </c>
      <c r="X763" s="120">
        <v>-9999</v>
      </c>
      <c r="Y763" s="120">
        <v>-9999</v>
      </c>
      <c r="Z763" s="120">
        <v>-9999</v>
      </c>
      <c r="AA763" s="120">
        <v>68</v>
      </c>
      <c r="AB763" s="120">
        <v>14.5</v>
      </c>
      <c r="AC763" s="120">
        <v>762</v>
      </c>
      <c r="AD763" s="120">
        <v>2034</v>
      </c>
      <c r="AE763" s="120">
        <v>-9999</v>
      </c>
      <c r="AF763" s="120">
        <v>-9999</v>
      </c>
      <c r="AG763" s="120">
        <v>-9999</v>
      </c>
    </row>
    <row r="764" spans="1:33" x14ac:dyDescent="0.25">
      <c r="A764" s="120">
        <v>763</v>
      </c>
      <c r="B764" s="120" t="b">
        <v>0</v>
      </c>
      <c r="C764" s="120">
        <v>0</v>
      </c>
      <c r="D764" s="61">
        <v>2</v>
      </c>
      <c r="E764" s="120">
        <v>1</v>
      </c>
      <c r="F764" s="120" t="s">
        <v>181</v>
      </c>
      <c r="G764" s="55">
        <v>300</v>
      </c>
      <c r="H764" s="120">
        <v>1143</v>
      </c>
      <c r="I764" s="57">
        <v>200</v>
      </c>
      <c r="J764" s="120">
        <v>200</v>
      </c>
      <c r="K764" s="120">
        <v>3</v>
      </c>
      <c r="L764" s="120">
        <v>40</v>
      </c>
      <c r="M764" s="120">
        <v>15</v>
      </c>
      <c r="N764" s="120">
        <v>40</v>
      </c>
      <c r="O764" s="120">
        <v>2</v>
      </c>
      <c r="P764" s="120">
        <v>16.666999816894499</v>
      </c>
      <c r="Q764" s="120">
        <v>330</v>
      </c>
      <c r="R764" s="120">
        <v>261.60000610351602</v>
      </c>
      <c r="S764" s="148">
        <v>22.899999618530298</v>
      </c>
      <c r="T764" s="120">
        <v>57</v>
      </c>
      <c r="U764" s="120">
        <v>20</v>
      </c>
      <c r="V764" s="120">
        <v>-9999</v>
      </c>
      <c r="W764" s="120">
        <v>-9999</v>
      </c>
      <c r="X764" s="120">
        <v>-9999</v>
      </c>
      <c r="Y764" s="120">
        <v>-9999</v>
      </c>
      <c r="Z764" s="120">
        <v>-9999</v>
      </c>
      <c r="AA764" s="120">
        <v>68</v>
      </c>
      <c r="AB764" s="120">
        <v>14.5</v>
      </c>
      <c r="AC764" s="120">
        <v>763</v>
      </c>
      <c r="AD764" s="120">
        <v>2035</v>
      </c>
      <c r="AE764" s="120">
        <v>-9999</v>
      </c>
      <c r="AF764" s="120">
        <v>-9999</v>
      </c>
      <c r="AG764" s="120">
        <v>-9999</v>
      </c>
    </row>
    <row r="765" spans="1:33" x14ac:dyDescent="0.25">
      <c r="A765" s="120">
        <v>764</v>
      </c>
      <c r="B765" s="120" t="b">
        <v>0</v>
      </c>
      <c r="C765" s="120">
        <v>0</v>
      </c>
      <c r="D765" s="61">
        <v>2</v>
      </c>
      <c r="E765" s="120">
        <v>1</v>
      </c>
      <c r="F765" s="120" t="s">
        <v>181</v>
      </c>
      <c r="G765" s="55">
        <v>300</v>
      </c>
      <c r="H765" s="120">
        <v>1091</v>
      </c>
      <c r="I765" s="57">
        <v>200</v>
      </c>
      <c r="J765" s="120">
        <v>210</v>
      </c>
      <c r="K765" s="120">
        <v>4</v>
      </c>
      <c r="L765" s="120">
        <v>100</v>
      </c>
      <c r="M765" s="120">
        <v>15</v>
      </c>
      <c r="N765" s="120">
        <v>40</v>
      </c>
      <c r="O765" s="120">
        <v>2</v>
      </c>
      <c r="P765" s="120">
        <v>-9999</v>
      </c>
      <c r="Q765" s="120">
        <v>315</v>
      </c>
      <c r="R765" s="120">
        <v>249.69999694824199</v>
      </c>
      <c r="S765" s="148">
        <v>22.899999618530298</v>
      </c>
      <c r="T765" s="120">
        <v>-9999</v>
      </c>
      <c r="U765" s="120">
        <v>20</v>
      </c>
      <c r="V765" s="120">
        <v>-9999</v>
      </c>
      <c r="W765" s="120">
        <v>-9999</v>
      </c>
      <c r="X765" s="120">
        <v>-9999</v>
      </c>
      <c r="Y765" s="120">
        <v>-9999</v>
      </c>
      <c r="Z765" s="120">
        <v>-9999</v>
      </c>
      <c r="AA765" s="120">
        <v>68</v>
      </c>
      <c r="AB765" s="120">
        <v>14.5</v>
      </c>
      <c r="AC765" s="120">
        <v>764</v>
      </c>
      <c r="AD765" s="120">
        <v>2036</v>
      </c>
      <c r="AE765" s="120">
        <v>-9999</v>
      </c>
      <c r="AF765" s="120">
        <v>-9999</v>
      </c>
      <c r="AG765" s="120">
        <v>-9999</v>
      </c>
    </row>
    <row r="766" spans="1:33" x14ac:dyDescent="0.25">
      <c r="A766" s="120">
        <v>765</v>
      </c>
      <c r="B766" s="120" t="b">
        <v>0</v>
      </c>
      <c r="C766" s="120">
        <v>0</v>
      </c>
      <c r="D766" s="61">
        <v>2</v>
      </c>
      <c r="E766" s="120">
        <v>1</v>
      </c>
      <c r="F766" s="120" t="s">
        <v>181</v>
      </c>
      <c r="G766" s="55">
        <v>300</v>
      </c>
      <c r="H766" s="120">
        <v>1091</v>
      </c>
      <c r="I766" s="57">
        <v>200</v>
      </c>
      <c r="J766" s="120">
        <v>210</v>
      </c>
      <c r="K766" s="120">
        <v>11</v>
      </c>
      <c r="L766" s="120">
        <v>60</v>
      </c>
      <c r="M766" s="120">
        <v>15</v>
      </c>
      <c r="N766" s="120">
        <v>40</v>
      </c>
      <c r="O766" s="120">
        <v>2</v>
      </c>
      <c r="P766" s="120">
        <v>25</v>
      </c>
      <c r="Q766" s="120">
        <v>315</v>
      </c>
      <c r="R766" s="120">
        <v>249.69999694824199</v>
      </c>
      <c r="S766" s="148">
        <v>22.899999618530298</v>
      </c>
      <c r="T766" s="120">
        <v>70</v>
      </c>
      <c r="U766" s="120">
        <v>20</v>
      </c>
      <c r="V766" s="120">
        <v>-9999</v>
      </c>
      <c r="W766" s="120">
        <v>-9999</v>
      </c>
      <c r="X766" s="120">
        <v>-9999</v>
      </c>
      <c r="Y766" s="120">
        <v>-9999</v>
      </c>
      <c r="Z766" s="120">
        <v>-9999</v>
      </c>
      <c r="AA766" s="120">
        <v>68</v>
      </c>
      <c r="AB766" s="120">
        <v>14.5</v>
      </c>
      <c r="AC766" s="120">
        <v>765</v>
      </c>
      <c r="AD766" s="120">
        <v>2037</v>
      </c>
      <c r="AE766" s="120">
        <v>-9999</v>
      </c>
      <c r="AF766" s="120">
        <v>-9999</v>
      </c>
      <c r="AG766" s="120">
        <v>-9999</v>
      </c>
    </row>
    <row r="767" spans="1:33" x14ac:dyDescent="0.25">
      <c r="A767" s="120">
        <v>766</v>
      </c>
      <c r="B767" s="120" t="b">
        <v>0</v>
      </c>
      <c r="C767" s="120">
        <v>0</v>
      </c>
      <c r="D767" s="61">
        <v>2</v>
      </c>
      <c r="E767" s="120">
        <v>1</v>
      </c>
      <c r="F767" s="120" t="s">
        <v>182</v>
      </c>
      <c r="G767" s="55">
        <v>350</v>
      </c>
      <c r="H767" s="120">
        <v>1857</v>
      </c>
      <c r="I767" s="57">
        <v>100</v>
      </c>
      <c r="J767" s="120">
        <v>110</v>
      </c>
      <c r="K767" s="120">
        <v>1</v>
      </c>
      <c r="L767" s="120">
        <v>50</v>
      </c>
      <c r="M767" s="120">
        <v>15</v>
      </c>
      <c r="N767" s="120">
        <v>40</v>
      </c>
      <c r="O767" s="120">
        <v>2</v>
      </c>
      <c r="P767" s="120">
        <v>5</v>
      </c>
      <c r="Q767" s="120">
        <v>367.5</v>
      </c>
      <c r="R767" s="120">
        <v>290.10000610351602</v>
      </c>
      <c r="S767" s="148">
        <v>15.6000003814697</v>
      </c>
      <c r="T767" s="120">
        <v>65</v>
      </c>
      <c r="U767" s="120">
        <v>20</v>
      </c>
      <c r="V767" s="120">
        <v>-9999</v>
      </c>
      <c r="W767" s="120">
        <v>-9999</v>
      </c>
      <c r="X767" s="120">
        <v>-9999</v>
      </c>
      <c r="Y767" s="120">
        <v>-9999</v>
      </c>
      <c r="Z767" s="120">
        <v>-9999</v>
      </c>
      <c r="AA767" s="120">
        <v>68</v>
      </c>
      <c r="AB767" s="120">
        <v>14.5</v>
      </c>
      <c r="AC767" s="120">
        <v>766</v>
      </c>
      <c r="AD767" s="120">
        <v>2038</v>
      </c>
      <c r="AE767" s="120">
        <v>-9999</v>
      </c>
      <c r="AF767" s="120">
        <v>-9999</v>
      </c>
      <c r="AG767" s="120">
        <v>-9999</v>
      </c>
    </row>
    <row r="768" spans="1:33" x14ac:dyDescent="0.25">
      <c r="A768" s="120">
        <v>767</v>
      </c>
      <c r="B768" s="120" t="b">
        <v>0</v>
      </c>
      <c r="C768" s="120">
        <v>0</v>
      </c>
      <c r="D768" s="61">
        <v>2</v>
      </c>
      <c r="E768" s="120">
        <v>1</v>
      </c>
      <c r="F768" s="120" t="s">
        <v>182</v>
      </c>
      <c r="G768" s="55">
        <v>350</v>
      </c>
      <c r="H768" s="120">
        <v>1945</v>
      </c>
      <c r="I768" s="57">
        <v>100</v>
      </c>
      <c r="J768" s="120">
        <v>100</v>
      </c>
      <c r="K768" s="120">
        <v>2</v>
      </c>
      <c r="L768" s="120">
        <v>50</v>
      </c>
      <c r="M768" s="120">
        <v>15</v>
      </c>
      <c r="N768" s="120">
        <v>40</v>
      </c>
      <c r="O768" s="120">
        <v>2</v>
      </c>
      <c r="P768" s="120">
        <v>20</v>
      </c>
      <c r="Q768" s="120">
        <v>385</v>
      </c>
      <c r="R768" s="120">
        <v>303.89999389648398</v>
      </c>
      <c r="S768" s="148">
        <v>15.6000003814697</v>
      </c>
      <c r="T768" s="120">
        <v>65</v>
      </c>
      <c r="U768" s="120">
        <v>20</v>
      </c>
      <c r="V768" s="120">
        <v>-9999</v>
      </c>
      <c r="W768" s="120">
        <v>-9999</v>
      </c>
      <c r="X768" s="120">
        <v>-9999</v>
      </c>
      <c r="Y768" s="120">
        <v>-9999</v>
      </c>
      <c r="Z768" s="120">
        <v>-9999</v>
      </c>
      <c r="AA768" s="120">
        <v>68</v>
      </c>
      <c r="AB768" s="120">
        <v>14.5</v>
      </c>
      <c r="AC768" s="120">
        <v>767</v>
      </c>
      <c r="AD768" s="120">
        <v>2039</v>
      </c>
      <c r="AE768" s="120">
        <v>-9999</v>
      </c>
      <c r="AF768" s="120">
        <v>-9999</v>
      </c>
      <c r="AG768" s="120">
        <v>-9999</v>
      </c>
    </row>
    <row r="769" spans="1:33" x14ac:dyDescent="0.25">
      <c r="A769" s="120">
        <v>768</v>
      </c>
      <c r="B769" s="120" t="b">
        <v>0</v>
      </c>
      <c r="C769" s="120">
        <v>0</v>
      </c>
      <c r="D769" s="61">
        <v>2</v>
      </c>
      <c r="E769" s="120">
        <v>1</v>
      </c>
      <c r="F769" s="120" t="s">
        <v>182</v>
      </c>
      <c r="G769" s="55">
        <v>350</v>
      </c>
      <c r="H769" s="120">
        <v>1945</v>
      </c>
      <c r="I769" s="57">
        <v>100</v>
      </c>
      <c r="J769" s="120">
        <v>100</v>
      </c>
      <c r="K769" s="120">
        <v>3</v>
      </c>
      <c r="L769" s="120">
        <v>40</v>
      </c>
      <c r="M769" s="120">
        <v>15</v>
      </c>
      <c r="N769" s="120">
        <v>40</v>
      </c>
      <c r="O769" s="120">
        <v>2</v>
      </c>
      <c r="P769" s="120">
        <v>16.666999816894499</v>
      </c>
      <c r="Q769" s="120">
        <v>385</v>
      </c>
      <c r="R769" s="120">
        <v>303.89999389648398</v>
      </c>
      <c r="S769" s="148">
        <v>15.6000003814697</v>
      </c>
      <c r="T769" s="120">
        <v>57</v>
      </c>
      <c r="U769" s="120">
        <v>20</v>
      </c>
      <c r="V769" s="120">
        <v>-9999</v>
      </c>
      <c r="W769" s="120">
        <v>-9999</v>
      </c>
      <c r="X769" s="120">
        <v>-9999</v>
      </c>
      <c r="Y769" s="120">
        <v>-9999</v>
      </c>
      <c r="Z769" s="120">
        <v>-9999</v>
      </c>
      <c r="AA769" s="120">
        <v>68</v>
      </c>
      <c r="AB769" s="120">
        <v>14.5</v>
      </c>
      <c r="AC769" s="120">
        <v>768</v>
      </c>
      <c r="AD769" s="120">
        <v>2040</v>
      </c>
      <c r="AE769" s="120">
        <v>-9999</v>
      </c>
      <c r="AF769" s="120">
        <v>-9999</v>
      </c>
      <c r="AG769" s="120">
        <v>-9999</v>
      </c>
    </row>
    <row r="770" spans="1:33" x14ac:dyDescent="0.25">
      <c r="A770" s="120">
        <v>769</v>
      </c>
      <c r="B770" s="120" t="b">
        <v>0</v>
      </c>
      <c r="C770" s="120">
        <v>0</v>
      </c>
      <c r="D770" s="61">
        <v>2</v>
      </c>
      <c r="E770" s="120">
        <v>1</v>
      </c>
      <c r="F770" s="120" t="s">
        <v>182</v>
      </c>
      <c r="G770" s="55">
        <v>350</v>
      </c>
      <c r="H770" s="120">
        <v>1857</v>
      </c>
      <c r="I770" s="57">
        <v>100</v>
      </c>
      <c r="J770" s="120">
        <v>110</v>
      </c>
      <c r="K770" s="120">
        <v>4</v>
      </c>
      <c r="L770" s="120">
        <v>100</v>
      </c>
      <c r="M770" s="120">
        <v>15</v>
      </c>
      <c r="N770" s="120">
        <v>40</v>
      </c>
      <c r="O770" s="120">
        <v>2</v>
      </c>
      <c r="P770" s="120">
        <v>-9999</v>
      </c>
      <c r="Q770" s="120">
        <v>367.5</v>
      </c>
      <c r="R770" s="120">
        <v>290.10000610351602</v>
      </c>
      <c r="S770" s="148">
        <v>15.6000003814697</v>
      </c>
      <c r="T770" s="120">
        <v>-9999</v>
      </c>
      <c r="U770" s="120">
        <v>20</v>
      </c>
      <c r="V770" s="120">
        <v>-9999</v>
      </c>
      <c r="W770" s="120">
        <v>-9999</v>
      </c>
      <c r="X770" s="120">
        <v>-9999</v>
      </c>
      <c r="Y770" s="120">
        <v>-9999</v>
      </c>
      <c r="Z770" s="120">
        <v>-9999</v>
      </c>
      <c r="AA770" s="120">
        <v>68</v>
      </c>
      <c r="AB770" s="120">
        <v>14.5</v>
      </c>
      <c r="AC770" s="120">
        <v>769</v>
      </c>
      <c r="AD770" s="120">
        <v>2041</v>
      </c>
      <c r="AE770" s="120">
        <v>-9999</v>
      </c>
      <c r="AF770" s="120">
        <v>-9999</v>
      </c>
      <c r="AG770" s="120">
        <v>-9999</v>
      </c>
    </row>
    <row r="771" spans="1:33" x14ac:dyDescent="0.25">
      <c r="A771" s="120">
        <v>770</v>
      </c>
      <c r="B771" s="120" t="b">
        <v>0</v>
      </c>
      <c r="C771" s="120">
        <v>0</v>
      </c>
      <c r="D771" s="61">
        <v>2</v>
      </c>
      <c r="E771" s="120">
        <v>1</v>
      </c>
      <c r="F771" s="120" t="s">
        <v>182</v>
      </c>
      <c r="G771" s="55">
        <v>350</v>
      </c>
      <c r="H771" s="120">
        <v>1857</v>
      </c>
      <c r="I771" s="57">
        <v>100</v>
      </c>
      <c r="J771" s="120">
        <v>110</v>
      </c>
      <c r="K771" s="120">
        <v>11</v>
      </c>
      <c r="L771" s="120">
        <v>60</v>
      </c>
      <c r="M771" s="120">
        <v>15</v>
      </c>
      <c r="N771" s="120">
        <v>40</v>
      </c>
      <c r="O771" s="120">
        <v>2</v>
      </c>
      <c r="P771" s="120">
        <v>25</v>
      </c>
      <c r="Q771" s="120">
        <v>367.5</v>
      </c>
      <c r="R771" s="120">
        <v>290.10000610351602</v>
      </c>
      <c r="S771" s="148">
        <v>15.6000003814697</v>
      </c>
      <c r="T771" s="120">
        <v>70</v>
      </c>
      <c r="U771" s="120">
        <v>20</v>
      </c>
      <c r="V771" s="120">
        <v>-9999</v>
      </c>
      <c r="W771" s="120">
        <v>-9999</v>
      </c>
      <c r="X771" s="120">
        <v>-9999</v>
      </c>
      <c r="Y771" s="120">
        <v>-9999</v>
      </c>
      <c r="Z771" s="120">
        <v>-9999</v>
      </c>
      <c r="AA771" s="120">
        <v>68</v>
      </c>
      <c r="AB771" s="120">
        <v>14.5</v>
      </c>
      <c r="AC771" s="120">
        <v>770</v>
      </c>
      <c r="AD771" s="120">
        <v>2042</v>
      </c>
      <c r="AE771" s="120">
        <v>-9999</v>
      </c>
      <c r="AF771" s="120">
        <v>-9999</v>
      </c>
      <c r="AG771" s="120">
        <v>-9999</v>
      </c>
    </row>
    <row r="772" spans="1:33" x14ac:dyDescent="0.25">
      <c r="A772" s="120">
        <v>771</v>
      </c>
      <c r="B772" s="120" t="b">
        <v>0</v>
      </c>
      <c r="C772" s="120">
        <v>0</v>
      </c>
      <c r="D772" s="61">
        <v>2</v>
      </c>
      <c r="E772" s="120">
        <v>1</v>
      </c>
      <c r="F772" s="120" t="s">
        <v>182</v>
      </c>
      <c r="G772" s="55">
        <v>350</v>
      </c>
      <c r="H772" s="120">
        <v>1680</v>
      </c>
      <c r="I772" s="57">
        <v>125</v>
      </c>
      <c r="J772" s="120">
        <v>135</v>
      </c>
      <c r="K772" s="120">
        <v>1</v>
      </c>
      <c r="L772" s="120">
        <v>50</v>
      </c>
      <c r="M772" s="120">
        <v>15</v>
      </c>
      <c r="N772" s="120">
        <v>40</v>
      </c>
      <c r="O772" s="120">
        <v>2</v>
      </c>
      <c r="P772" s="120">
        <v>5</v>
      </c>
      <c r="Q772" s="120">
        <v>367.5</v>
      </c>
      <c r="R772" s="120">
        <v>290.10000610351602</v>
      </c>
      <c r="S772" s="148">
        <v>17.299999237060501</v>
      </c>
      <c r="T772" s="120">
        <v>65</v>
      </c>
      <c r="U772" s="120">
        <v>20</v>
      </c>
      <c r="V772" s="120">
        <v>-9999</v>
      </c>
      <c r="W772" s="120">
        <v>-9999</v>
      </c>
      <c r="X772" s="120">
        <v>-9999</v>
      </c>
      <c r="Y772" s="120">
        <v>-9999</v>
      </c>
      <c r="Z772" s="120">
        <v>-9999</v>
      </c>
      <c r="AA772" s="120">
        <v>68</v>
      </c>
      <c r="AB772" s="120">
        <v>14.5</v>
      </c>
      <c r="AC772" s="120">
        <v>771</v>
      </c>
      <c r="AD772" s="120">
        <v>2043</v>
      </c>
      <c r="AE772" s="120">
        <v>-9999</v>
      </c>
      <c r="AF772" s="120">
        <v>-9999</v>
      </c>
      <c r="AG772" s="120">
        <v>-9999</v>
      </c>
    </row>
    <row r="773" spans="1:33" x14ac:dyDescent="0.25">
      <c r="A773" s="120">
        <v>772</v>
      </c>
      <c r="B773" s="120" t="b">
        <v>0</v>
      </c>
      <c r="C773" s="120">
        <v>0</v>
      </c>
      <c r="D773" s="61">
        <v>2</v>
      </c>
      <c r="E773" s="120">
        <v>1</v>
      </c>
      <c r="F773" s="120" t="s">
        <v>182</v>
      </c>
      <c r="G773" s="55">
        <v>350</v>
      </c>
      <c r="H773" s="120">
        <v>1760</v>
      </c>
      <c r="I773" s="57">
        <v>125</v>
      </c>
      <c r="J773" s="120">
        <v>125</v>
      </c>
      <c r="K773" s="120">
        <v>2</v>
      </c>
      <c r="L773" s="120">
        <v>50</v>
      </c>
      <c r="M773" s="120">
        <v>15</v>
      </c>
      <c r="N773" s="120">
        <v>40</v>
      </c>
      <c r="O773" s="120">
        <v>2</v>
      </c>
      <c r="P773" s="120">
        <v>20</v>
      </c>
      <c r="Q773" s="120">
        <v>385</v>
      </c>
      <c r="R773" s="120">
        <v>303.89999389648398</v>
      </c>
      <c r="S773" s="148">
        <v>17.299999237060501</v>
      </c>
      <c r="T773" s="120">
        <v>65</v>
      </c>
      <c r="U773" s="120">
        <v>20</v>
      </c>
      <c r="V773" s="120">
        <v>-9999</v>
      </c>
      <c r="W773" s="120">
        <v>-9999</v>
      </c>
      <c r="X773" s="120">
        <v>-9999</v>
      </c>
      <c r="Y773" s="120">
        <v>-9999</v>
      </c>
      <c r="Z773" s="120">
        <v>-9999</v>
      </c>
      <c r="AA773" s="120">
        <v>68</v>
      </c>
      <c r="AB773" s="120">
        <v>14.5</v>
      </c>
      <c r="AC773" s="120">
        <v>772</v>
      </c>
      <c r="AD773" s="120">
        <v>2044</v>
      </c>
      <c r="AE773" s="120">
        <v>-9999</v>
      </c>
      <c r="AF773" s="120">
        <v>-9999</v>
      </c>
      <c r="AG773" s="120">
        <v>-9999</v>
      </c>
    </row>
    <row r="774" spans="1:33" x14ac:dyDescent="0.25">
      <c r="A774" s="120">
        <v>773</v>
      </c>
      <c r="B774" s="120" t="b">
        <v>0</v>
      </c>
      <c r="C774" s="120">
        <v>0</v>
      </c>
      <c r="D774" s="61">
        <v>2</v>
      </c>
      <c r="E774" s="120">
        <v>1</v>
      </c>
      <c r="F774" s="120" t="s">
        <v>182</v>
      </c>
      <c r="G774" s="55">
        <v>350</v>
      </c>
      <c r="H774" s="120">
        <v>1760</v>
      </c>
      <c r="I774" s="57">
        <v>125</v>
      </c>
      <c r="J774" s="120">
        <v>125</v>
      </c>
      <c r="K774" s="120">
        <v>3</v>
      </c>
      <c r="L774" s="120">
        <v>40</v>
      </c>
      <c r="M774" s="120">
        <v>15</v>
      </c>
      <c r="N774" s="120">
        <v>40</v>
      </c>
      <c r="O774" s="120">
        <v>2</v>
      </c>
      <c r="P774" s="120">
        <v>16.666999816894499</v>
      </c>
      <c r="Q774" s="120">
        <v>385</v>
      </c>
      <c r="R774" s="120">
        <v>303.89999389648398</v>
      </c>
      <c r="S774" s="148">
        <v>17.299999237060501</v>
      </c>
      <c r="T774" s="120">
        <v>57</v>
      </c>
      <c r="U774" s="120">
        <v>20</v>
      </c>
      <c r="V774" s="120">
        <v>-9999</v>
      </c>
      <c r="W774" s="120">
        <v>-9999</v>
      </c>
      <c r="X774" s="120">
        <v>-9999</v>
      </c>
      <c r="Y774" s="120">
        <v>-9999</v>
      </c>
      <c r="Z774" s="120">
        <v>-9999</v>
      </c>
      <c r="AA774" s="120">
        <v>68</v>
      </c>
      <c r="AB774" s="120">
        <v>14.5</v>
      </c>
      <c r="AC774" s="120">
        <v>773</v>
      </c>
      <c r="AD774" s="120">
        <v>2045</v>
      </c>
      <c r="AE774" s="120">
        <v>-9999</v>
      </c>
      <c r="AF774" s="120">
        <v>-9999</v>
      </c>
      <c r="AG774" s="120">
        <v>-9999</v>
      </c>
    </row>
    <row r="775" spans="1:33" x14ac:dyDescent="0.25">
      <c r="A775" s="120">
        <v>774</v>
      </c>
      <c r="B775" s="120" t="b">
        <v>0</v>
      </c>
      <c r="C775" s="120">
        <v>0</v>
      </c>
      <c r="D775" s="61">
        <v>2</v>
      </c>
      <c r="E775" s="120">
        <v>1</v>
      </c>
      <c r="F775" s="120" t="s">
        <v>182</v>
      </c>
      <c r="G775" s="55">
        <v>350</v>
      </c>
      <c r="H775" s="120">
        <v>1680</v>
      </c>
      <c r="I775" s="57">
        <v>125</v>
      </c>
      <c r="J775" s="120">
        <v>135</v>
      </c>
      <c r="K775" s="120">
        <v>4</v>
      </c>
      <c r="L775" s="120">
        <v>100</v>
      </c>
      <c r="M775" s="120">
        <v>15</v>
      </c>
      <c r="N775" s="120">
        <v>40</v>
      </c>
      <c r="O775" s="120">
        <v>2</v>
      </c>
      <c r="P775" s="120">
        <v>-9999</v>
      </c>
      <c r="Q775" s="120">
        <v>367.5</v>
      </c>
      <c r="R775" s="120">
        <v>290.10000610351602</v>
      </c>
      <c r="S775" s="148">
        <v>17.299999237060501</v>
      </c>
      <c r="T775" s="120">
        <v>-9999</v>
      </c>
      <c r="U775" s="120">
        <v>20</v>
      </c>
      <c r="V775" s="120">
        <v>-9999</v>
      </c>
      <c r="W775" s="120">
        <v>-9999</v>
      </c>
      <c r="X775" s="120">
        <v>-9999</v>
      </c>
      <c r="Y775" s="120">
        <v>-9999</v>
      </c>
      <c r="Z775" s="120">
        <v>-9999</v>
      </c>
      <c r="AA775" s="120">
        <v>68</v>
      </c>
      <c r="AB775" s="120">
        <v>14.5</v>
      </c>
      <c r="AC775" s="120">
        <v>774</v>
      </c>
      <c r="AD775" s="120">
        <v>2046</v>
      </c>
      <c r="AE775" s="120">
        <v>-9999</v>
      </c>
      <c r="AF775" s="120">
        <v>-9999</v>
      </c>
      <c r="AG775" s="120">
        <v>-9999</v>
      </c>
    </row>
    <row r="776" spans="1:33" x14ac:dyDescent="0.25">
      <c r="A776" s="120">
        <v>775</v>
      </c>
      <c r="B776" s="120" t="b">
        <v>0</v>
      </c>
      <c r="C776" s="120">
        <v>0</v>
      </c>
      <c r="D776" s="61">
        <v>2</v>
      </c>
      <c r="E776" s="120">
        <v>1</v>
      </c>
      <c r="F776" s="120" t="s">
        <v>182</v>
      </c>
      <c r="G776" s="55">
        <v>350</v>
      </c>
      <c r="H776" s="120">
        <v>1680</v>
      </c>
      <c r="I776" s="57">
        <v>125</v>
      </c>
      <c r="J776" s="120">
        <v>135</v>
      </c>
      <c r="K776" s="120">
        <v>11</v>
      </c>
      <c r="L776" s="120">
        <v>60</v>
      </c>
      <c r="M776" s="120">
        <v>15</v>
      </c>
      <c r="N776" s="120">
        <v>40</v>
      </c>
      <c r="O776" s="120">
        <v>2</v>
      </c>
      <c r="P776" s="120">
        <v>25</v>
      </c>
      <c r="Q776" s="120">
        <v>367.5</v>
      </c>
      <c r="R776" s="120">
        <v>290.10000610351602</v>
      </c>
      <c r="S776" s="148">
        <v>17.299999237060501</v>
      </c>
      <c r="T776" s="120">
        <v>70</v>
      </c>
      <c r="U776" s="120">
        <v>20</v>
      </c>
      <c r="V776" s="120">
        <v>-9999</v>
      </c>
      <c r="W776" s="120">
        <v>-9999</v>
      </c>
      <c r="X776" s="120">
        <v>-9999</v>
      </c>
      <c r="Y776" s="120">
        <v>-9999</v>
      </c>
      <c r="Z776" s="120">
        <v>-9999</v>
      </c>
      <c r="AA776" s="120">
        <v>68</v>
      </c>
      <c r="AB776" s="120">
        <v>14.5</v>
      </c>
      <c r="AC776" s="120">
        <v>775</v>
      </c>
      <c r="AD776" s="120">
        <v>2047</v>
      </c>
      <c r="AE776" s="120">
        <v>-9999</v>
      </c>
      <c r="AF776" s="120">
        <v>-9999</v>
      </c>
      <c r="AG776" s="120">
        <v>-9999</v>
      </c>
    </row>
    <row r="777" spans="1:33" x14ac:dyDescent="0.25">
      <c r="A777" s="120">
        <v>776</v>
      </c>
      <c r="B777" s="120" t="b">
        <v>0</v>
      </c>
      <c r="C777" s="120">
        <v>0</v>
      </c>
      <c r="D777" s="61">
        <v>2</v>
      </c>
      <c r="E777" s="120">
        <v>1</v>
      </c>
      <c r="F777" s="120" t="s">
        <v>182</v>
      </c>
      <c r="G777" s="55">
        <v>350</v>
      </c>
      <c r="H777" s="120">
        <v>1593</v>
      </c>
      <c r="I777" s="57">
        <v>140</v>
      </c>
      <c r="J777" s="120">
        <v>150</v>
      </c>
      <c r="K777" s="120">
        <v>1</v>
      </c>
      <c r="L777" s="120">
        <v>50</v>
      </c>
      <c r="M777" s="120">
        <v>15</v>
      </c>
      <c r="N777" s="120">
        <v>40</v>
      </c>
      <c r="O777" s="120">
        <v>2</v>
      </c>
      <c r="P777" s="120">
        <v>5</v>
      </c>
      <c r="Q777" s="120">
        <v>367.5</v>
      </c>
      <c r="R777" s="120">
        <v>290.10000610351602</v>
      </c>
      <c r="S777" s="148">
        <v>18.200000762939499</v>
      </c>
      <c r="T777" s="120">
        <v>65</v>
      </c>
      <c r="U777" s="120">
        <v>20</v>
      </c>
      <c r="V777" s="120">
        <v>-9999</v>
      </c>
      <c r="W777" s="120">
        <v>-9999</v>
      </c>
      <c r="X777" s="120">
        <v>-9999</v>
      </c>
      <c r="Y777" s="120">
        <v>-9999</v>
      </c>
      <c r="Z777" s="120">
        <v>-9999</v>
      </c>
      <c r="AA777" s="120">
        <v>68</v>
      </c>
      <c r="AB777" s="120">
        <v>14.5</v>
      </c>
      <c r="AC777" s="120">
        <v>776</v>
      </c>
      <c r="AD777" s="120">
        <v>2048</v>
      </c>
      <c r="AE777" s="120">
        <v>-9999</v>
      </c>
      <c r="AF777" s="120">
        <v>-9999</v>
      </c>
      <c r="AG777" s="120">
        <v>-9999</v>
      </c>
    </row>
    <row r="778" spans="1:33" x14ac:dyDescent="0.25">
      <c r="A778" s="120">
        <v>777</v>
      </c>
      <c r="B778" s="120" t="b">
        <v>0</v>
      </c>
      <c r="C778" s="120">
        <v>0</v>
      </c>
      <c r="D778" s="61">
        <v>2</v>
      </c>
      <c r="E778" s="120">
        <v>1</v>
      </c>
      <c r="F778" s="120" t="s">
        <v>182</v>
      </c>
      <c r="G778" s="55">
        <v>350</v>
      </c>
      <c r="H778" s="120">
        <v>1669</v>
      </c>
      <c r="I778" s="57">
        <v>140</v>
      </c>
      <c r="J778" s="120">
        <v>140</v>
      </c>
      <c r="K778" s="120">
        <v>2</v>
      </c>
      <c r="L778" s="120">
        <v>50</v>
      </c>
      <c r="M778" s="120">
        <v>15</v>
      </c>
      <c r="N778" s="120">
        <v>40</v>
      </c>
      <c r="O778" s="120">
        <v>2</v>
      </c>
      <c r="P778" s="120">
        <v>20</v>
      </c>
      <c r="Q778" s="120">
        <v>385</v>
      </c>
      <c r="R778" s="120">
        <v>303.89999389648398</v>
      </c>
      <c r="S778" s="148">
        <v>18.200000762939499</v>
      </c>
      <c r="T778" s="120">
        <v>65</v>
      </c>
      <c r="U778" s="120">
        <v>20</v>
      </c>
      <c r="V778" s="120">
        <v>-9999</v>
      </c>
      <c r="W778" s="120">
        <v>-9999</v>
      </c>
      <c r="X778" s="120">
        <v>-9999</v>
      </c>
      <c r="Y778" s="120">
        <v>-9999</v>
      </c>
      <c r="Z778" s="120">
        <v>-9999</v>
      </c>
      <c r="AA778" s="120">
        <v>68</v>
      </c>
      <c r="AB778" s="120">
        <v>14.5</v>
      </c>
      <c r="AC778" s="120">
        <v>777</v>
      </c>
      <c r="AD778" s="120">
        <v>2049</v>
      </c>
      <c r="AE778" s="120">
        <v>-9999</v>
      </c>
      <c r="AF778" s="120">
        <v>-9999</v>
      </c>
      <c r="AG778" s="120">
        <v>-9999</v>
      </c>
    </row>
    <row r="779" spans="1:33" x14ac:dyDescent="0.25">
      <c r="A779" s="120">
        <v>778</v>
      </c>
      <c r="B779" s="120" t="b">
        <v>0</v>
      </c>
      <c r="C779" s="120">
        <v>0</v>
      </c>
      <c r="D779" s="61">
        <v>2</v>
      </c>
      <c r="E779" s="120">
        <v>1</v>
      </c>
      <c r="F779" s="120" t="s">
        <v>182</v>
      </c>
      <c r="G779" s="55">
        <v>350</v>
      </c>
      <c r="H779" s="120">
        <v>1669</v>
      </c>
      <c r="I779" s="57">
        <v>140</v>
      </c>
      <c r="J779" s="120">
        <v>140</v>
      </c>
      <c r="K779" s="120">
        <v>3</v>
      </c>
      <c r="L779" s="120">
        <v>40</v>
      </c>
      <c r="M779" s="120">
        <v>15</v>
      </c>
      <c r="N779" s="120">
        <v>40</v>
      </c>
      <c r="O779" s="120">
        <v>2</v>
      </c>
      <c r="P779" s="120">
        <v>16.666999816894499</v>
      </c>
      <c r="Q779" s="120">
        <v>385</v>
      </c>
      <c r="R779" s="120">
        <v>303.89999389648398</v>
      </c>
      <c r="S779" s="148">
        <v>18.200000762939499</v>
      </c>
      <c r="T779" s="120">
        <v>57</v>
      </c>
      <c r="U779" s="120">
        <v>20</v>
      </c>
      <c r="V779" s="120">
        <v>-9999</v>
      </c>
      <c r="W779" s="120">
        <v>-9999</v>
      </c>
      <c r="X779" s="120">
        <v>-9999</v>
      </c>
      <c r="Y779" s="120">
        <v>-9999</v>
      </c>
      <c r="Z779" s="120">
        <v>-9999</v>
      </c>
      <c r="AA779" s="120">
        <v>68</v>
      </c>
      <c r="AB779" s="120">
        <v>14.5</v>
      </c>
      <c r="AC779" s="120">
        <v>778</v>
      </c>
      <c r="AD779" s="120">
        <v>2050</v>
      </c>
      <c r="AE779" s="120">
        <v>-9999</v>
      </c>
      <c r="AF779" s="120">
        <v>-9999</v>
      </c>
      <c r="AG779" s="120">
        <v>-9999</v>
      </c>
    </row>
    <row r="780" spans="1:33" x14ac:dyDescent="0.25">
      <c r="A780" s="120">
        <v>779</v>
      </c>
      <c r="B780" s="120" t="b">
        <v>0</v>
      </c>
      <c r="C780" s="120">
        <v>0</v>
      </c>
      <c r="D780" s="61">
        <v>2</v>
      </c>
      <c r="E780" s="120">
        <v>1</v>
      </c>
      <c r="F780" s="120" t="s">
        <v>182</v>
      </c>
      <c r="G780" s="55">
        <v>350</v>
      </c>
      <c r="H780" s="120">
        <v>1593</v>
      </c>
      <c r="I780" s="57">
        <v>140</v>
      </c>
      <c r="J780" s="120">
        <v>150</v>
      </c>
      <c r="K780" s="120">
        <v>4</v>
      </c>
      <c r="L780" s="120">
        <v>100</v>
      </c>
      <c r="M780" s="120">
        <v>15</v>
      </c>
      <c r="N780" s="120">
        <v>40</v>
      </c>
      <c r="O780" s="120">
        <v>2</v>
      </c>
      <c r="P780" s="120">
        <v>-9999</v>
      </c>
      <c r="Q780" s="120">
        <v>367.5</v>
      </c>
      <c r="R780" s="120">
        <v>290.10000610351602</v>
      </c>
      <c r="S780" s="148">
        <v>18.200000762939499</v>
      </c>
      <c r="T780" s="120">
        <v>-9999</v>
      </c>
      <c r="U780" s="120">
        <v>20</v>
      </c>
      <c r="V780" s="120">
        <v>-9999</v>
      </c>
      <c r="W780" s="120">
        <v>-9999</v>
      </c>
      <c r="X780" s="120">
        <v>-9999</v>
      </c>
      <c r="Y780" s="120">
        <v>-9999</v>
      </c>
      <c r="Z780" s="120">
        <v>-9999</v>
      </c>
      <c r="AA780" s="120">
        <v>68</v>
      </c>
      <c r="AB780" s="120">
        <v>14.5</v>
      </c>
      <c r="AC780" s="120">
        <v>779</v>
      </c>
      <c r="AD780" s="120">
        <v>2051</v>
      </c>
      <c r="AE780" s="120">
        <v>-9999</v>
      </c>
      <c r="AF780" s="120">
        <v>-9999</v>
      </c>
      <c r="AG780" s="120">
        <v>-9999</v>
      </c>
    </row>
    <row r="781" spans="1:33" x14ac:dyDescent="0.25">
      <c r="A781" s="120">
        <v>780</v>
      </c>
      <c r="B781" s="120" t="b">
        <v>0</v>
      </c>
      <c r="C781" s="120">
        <v>0</v>
      </c>
      <c r="D781" s="61">
        <v>2</v>
      </c>
      <c r="E781" s="120">
        <v>1</v>
      </c>
      <c r="F781" s="120" t="s">
        <v>182</v>
      </c>
      <c r="G781" s="55">
        <v>350</v>
      </c>
      <c r="H781" s="120">
        <v>1593</v>
      </c>
      <c r="I781" s="57">
        <v>140</v>
      </c>
      <c r="J781" s="120">
        <v>150</v>
      </c>
      <c r="K781" s="120">
        <v>11</v>
      </c>
      <c r="L781" s="120">
        <v>60</v>
      </c>
      <c r="M781" s="120">
        <v>15</v>
      </c>
      <c r="N781" s="120">
        <v>40</v>
      </c>
      <c r="O781" s="120">
        <v>2</v>
      </c>
      <c r="P781" s="120">
        <v>25</v>
      </c>
      <c r="Q781" s="120">
        <v>367.5</v>
      </c>
      <c r="R781" s="120">
        <v>290.10000610351602</v>
      </c>
      <c r="S781" s="148">
        <v>18.200000762939499</v>
      </c>
      <c r="T781" s="120">
        <v>70</v>
      </c>
      <c r="U781" s="120">
        <v>20</v>
      </c>
      <c r="V781" s="120">
        <v>-9999</v>
      </c>
      <c r="W781" s="120">
        <v>-9999</v>
      </c>
      <c r="X781" s="120">
        <v>-9999</v>
      </c>
      <c r="Y781" s="120">
        <v>-9999</v>
      </c>
      <c r="Z781" s="120">
        <v>-9999</v>
      </c>
      <c r="AA781" s="120">
        <v>68</v>
      </c>
      <c r="AB781" s="120">
        <v>14.5</v>
      </c>
      <c r="AC781" s="120">
        <v>780</v>
      </c>
      <c r="AD781" s="120">
        <v>2052</v>
      </c>
      <c r="AE781" s="120">
        <v>-9999</v>
      </c>
      <c r="AF781" s="120">
        <v>-9999</v>
      </c>
      <c r="AG781" s="120">
        <v>-9999</v>
      </c>
    </row>
    <row r="782" spans="1:33" x14ac:dyDescent="0.25">
      <c r="A782" s="120">
        <v>781</v>
      </c>
      <c r="B782" s="120" t="b">
        <v>0</v>
      </c>
      <c r="C782" s="120">
        <v>0</v>
      </c>
      <c r="D782" s="61">
        <v>2</v>
      </c>
      <c r="E782" s="120">
        <v>1</v>
      </c>
      <c r="F782" s="120" t="s">
        <v>182</v>
      </c>
      <c r="G782" s="55">
        <v>350</v>
      </c>
      <c r="H782" s="120">
        <v>1304</v>
      </c>
      <c r="I782" s="57">
        <v>200</v>
      </c>
      <c r="J782" s="120">
        <v>210</v>
      </c>
      <c r="K782" s="120">
        <v>1</v>
      </c>
      <c r="L782" s="120">
        <v>50</v>
      </c>
      <c r="M782" s="120">
        <v>15</v>
      </c>
      <c r="N782" s="120">
        <v>40</v>
      </c>
      <c r="O782" s="120">
        <v>2</v>
      </c>
      <c r="P782" s="120">
        <v>5</v>
      </c>
      <c r="Q782" s="120">
        <v>367.5</v>
      </c>
      <c r="R782" s="120">
        <v>290.10000610351602</v>
      </c>
      <c r="S782" s="148">
        <v>22.200000762939499</v>
      </c>
      <c r="T782" s="120">
        <v>65</v>
      </c>
      <c r="U782" s="120">
        <v>20</v>
      </c>
      <c r="V782" s="120">
        <v>-9999</v>
      </c>
      <c r="W782" s="120">
        <v>-9999</v>
      </c>
      <c r="X782" s="120">
        <v>-9999</v>
      </c>
      <c r="Y782" s="120">
        <v>-9999</v>
      </c>
      <c r="Z782" s="120">
        <v>-9999</v>
      </c>
      <c r="AA782" s="120">
        <v>68</v>
      </c>
      <c r="AB782" s="120">
        <v>14.5</v>
      </c>
      <c r="AC782" s="120">
        <v>781</v>
      </c>
      <c r="AD782" s="120">
        <v>2053</v>
      </c>
      <c r="AE782" s="120">
        <v>-9999</v>
      </c>
      <c r="AF782" s="120">
        <v>-9999</v>
      </c>
      <c r="AG782" s="120">
        <v>-9999</v>
      </c>
    </row>
    <row r="783" spans="1:33" x14ac:dyDescent="0.25">
      <c r="A783" s="120">
        <v>782</v>
      </c>
      <c r="B783" s="120" t="b">
        <v>0</v>
      </c>
      <c r="C783" s="120">
        <v>0</v>
      </c>
      <c r="D783" s="61">
        <v>2</v>
      </c>
      <c r="E783" s="120">
        <v>1</v>
      </c>
      <c r="F783" s="120" t="s">
        <v>182</v>
      </c>
      <c r="G783" s="55">
        <v>350</v>
      </c>
      <c r="H783" s="120">
        <v>1366</v>
      </c>
      <c r="I783" s="57">
        <v>200</v>
      </c>
      <c r="J783" s="120">
        <v>200</v>
      </c>
      <c r="K783" s="120">
        <v>2</v>
      </c>
      <c r="L783" s="120">
        <v>50</v>
      </c>
      <c r="M783" s="120">
        <v>15</v>
      </c>
      <c r="N783" s="120">
        <v>40</v>
      </c>
      <c r="O783" s="120">
        <v>2</v>
      </c>
      <c r="P783" s="120">
        <v>20</v>
      </c>
      <c r="Q783" s="120">
        <v>385</v>
      </c>
      <c r="R783" s="120">
        <v>303.89999389648398</v>
      </c>
      <c r="S783" s="148">
        <v>22.200000762939499</v>
      </c>
      <c r="T783" s="120">
        <v>65</v>
      </c>
      <c r="U783" s="120">
        <v>20</v>
      </c>
      <c r="V783" s="120">
        <v>-9999</v>
      </c>
      <c r="W783" s="120">
        <v>-9999</v>
      </c>
      <c r="X783" s="120">
        <v>-9999</v>
      </c>
      <c r="Y783" s="120">
        <v>-9999</v>
      </c>
      <c r="Z783" s="120">
        <v>-9999</v>
      </c>
      <c r="AA783" s="120">
        <v>68</v>
      </c>
      <c r="AB783" s="120">
        <v>14.5</v>
      </c>
      <c r="AC783" s="120">
        <v>782</v>
      </c>
      <c r="AD783" s="120">
        <v>2054</v>
      </c>
      <c r="AE783" s="120">
        <v>-9999</v>
      </c>
      <c r="AF783" s="120">
        <v>-9999</v>
      </c>
      <c r="AG783" s="120">
        <v>-9999</v>
      </c>
    </row>
    <row r="784" spans="1:33" x14ac:dyDescent="0.25">
      <c r="A784" s="120">
        <v>783</v>
      </c>
      <c r="B784" s="120" t="b">
        <v>0</v>
      </c>
      <c r="C784" s="120">
        <v>0</v>
      </c>
      <c r="D784" s="61">
        <v>2</v>
      </c>
      <c r="E784" s="120">
        <v>1</v>
      </c>
      <c r="F784" s="120" t="s">
        <v>182</v>
      </c>
      <c r="G784" s="55">
        <v>350</v>
      </c>
      <c r="H784" s="120">
        <v>1366</v>
      </c>
      <c r="I784" s="57">
        <v>200</v>
      </c>
      <c r="J784" s="120">
        <v>200</v>
      </c>
      <c r="K784" s="120">
        <v>3</v>
      </c>
      <c r="L784" s="120">
        <v>40</v>
      </c>
      <c r="M784" s="120">
        <v>15</v>
      </c>
      <c r="N784" s="120">
        <v>40</v>
      </c>
      <c r="O784" s="120">
        <v>2</v>
      </c>
      <c r="P784" s="120">
        <v>16.666999816894499</v>
      </c>
      <c r="Q784" s="120">
        <v>385</v>
      </c>
      <c r="R784" s="120">
        <v>303.89999389648398</v>
      </c>
      <c r="S784" s="148">
        <v>22.200000762939499</v>
      </c>
      <c r="T784" s="120">
        <v>57</v>
      </c>
      <c r="U784" s="120">
        <v>20</v>
      </c>
      <c r="V784" s="120">
        <v>-9999</v>
      </c>
      <c r="W784" s="120">
        <v>-9999</v>
      </c>
      <c r="X784" s="120">
        <v>-9999</v>
      </c>
      <c r="Y784" s="120">
        <v>-9999</v>
      </c>
      <c r="Z784" s="120">
        <v>-9999</v>
      </c>
      <c r="AA784" s="120">
        <v>68</v>
      </c>
      <c r="AB784" s="120">
        <v>14.5</v>
      </c>
      <c r="AC784" s="120">
        <v>783</v>
      </c>
      <c r="AD784" s="120">
        <v>2055</v>
      </c>
      <c r="AE784" s="120">
        <v>-9999</v>
      </c>
      <c r="AF784" s="120">
        <v>-9999</v>
      </c>
      <c r="AG784" s="120">
        <v>-9999</v>
      </c>
    </row>
    <row r="785" spans="1:33" x14ac:dyDescent="0.25">
      <c r="A785" s="120">
        <v>784</v>
      </c>
      <c r="B785" s="120" t="b">
        <v>0</v>
      </c>
      <c r="C785" s="120">
        <v>0</v>
      </c>
      <c r="D785" s="61">
        <v>2</v>
      </c>
      <c r="E785" s="120">
        <v>1</v>
      </c>
      <c r="F785" s="120" t="s">
        <v>182</v>
      </c>
      <c r="G785" s="55">
        <v>350</v>
      </c>
      <c r="H785" s="120">
        <v>1304</v>
      </c>
      <c r="I785" s="57">
        <v>200</v>
      </c>
      <c r="J785" s="120">
        <v>210</v>
      </c>
      <c r="K785" s="120">
        <v>4</v>
      </c>
      <c r="L785" s="120">
        <v>100</v>
      </c>
      <c r="M785" s="120">
        <v>15</v>
      </c>
      <c r="N785" s="120">
        <v>40</v>
      </c>
      <c r="O785" s="120">
        <v>2</v>
      </c>
      <c r="P785" s="120">
        <v>-9999</v>
      </c>
      <c r="Q785" s="120">
        <v>367.5</v>
      </c>
      <c r="R785" s="120">
        <v>290.10000610351602</v>
      </c>
      <c r="S785" s="148">
        <v>22.200000762939499</v>
      </c>
      <c r="T785" s="120">
        <v>-9999</v>
      </c>
      <c r="U785" s="120">
        <v>20</v>
      </c>
      <c r="V785" s="120">
        <v>-9999</v>
      </c>
      <c r="W785" s="120">
        <v>-9999</v>
      </c>
      <c r="X785" s="120">
        <v>-9999</v>
      </c>
      <c r="Y785" s="120">
        <v>-9999</v>
      </c>
      <c r="Z785" s="120">
        <v>-9999</v>
      </c>
      <c r="AA785" s="120">
        <v>68</v>
      </c>
      <c r="AB785" s="120">
        <v>14.5</v>
      </c>
      <c r="AC785" s="120">
        <v>784</v>
      </c>
      <c r="AD785" s="120">
        <v>2056</v>
      </c>
      <c r="AE785" s="120">
        <v>-9999</v>
      </c>
      <c r="AF785" s="120">
        <v>-9999</v>
      </c>
      <c r="AG785" s="120">
        <v>-9999</v>
      </c>
    </row>
    <row r="786" spans="1:33" x14ac:dyDescent="0.25">
      <c r="A786" s="120">
        <v>785</v>
      </c>
      <c r="B786" s="120" t="b">
        <v>0</v>
      </c>
      <c r="C786" s="120">
        <v>0</v>
      </c>
      <c r="D786" s="61">
        <v>2</v>
      </c>
      <c r="E786" s="120">
        <v>1</v>
      </c>
      <c r="F786" s="120" t="s">
        <v>182</v>
      </c>
      <c r="G786" s="55">
        <v>350</v>
      </c>
      <c r="H786" s="120">
        <v>1304</v>
      </c>
      <c r="I786" s="57">
        <v>200</v>
      </c>
      <c r="J786" s="120">
        <v>210</v>
      </c>
      <c r="K786" s="120">
        <v>11</v>
      </c>
      <c r="L786" s="120">
        <v>60</v>
      </c>
      <c r="M786" s="120">
        <v>15</v>
      </c>
      <c r="N786" s="120">
        <v>40</v>
      </c>
      <c r="O786" s="120">
        <v>2</v>
      </c>
      <c r="P786" s="120">
        <v>25</v>
      </c>
      <c r="Q786" s="120">
        <v>367.5</v>
      </c>
      <c r="R786" s="120">
        <v>290.10000610351602</v>
      </c>
      <c r="S786" s="148">
        <v>22.200000762939499</v>
      </c>
      <c r="T786" s="120">
        <v>70</v>
      </c>
      <c r="U786" s="120">
        <v>20</v>
      </c>
      <c r="V786" s="120">
        <v>-9999</v>
      </c>
      <c r="W786" s="120">
        <v>-9999</v>
      </c>
      <c r="X786" s="120">
        <v>-9999</v>
      </c>
      <c r="Y786" s="120">
        <v>-9999</v>
      </c>
      <c r="Z786" s="120">
        <v>-9999</v>
      </c>
      <c r="AA786" s="120">
        <v>68</v>
      </c>
      <c r="AB786" s="120">
        <v>14.5</v>
      </c>
      <c r="AC786" s="120">
        <v>785</v>
      </c>
      <c r="AD786" s="120">
        <v>2057</v>
      </c>
      <c r="AE786" s="120">
        <v>-9999</v>
      </c>
      <c r="AF786" s="120">
        <v>-9999</v>
      </c>
      <c r="AG786" s="120">
        <v>-9999</v>
      </c>
    </row>
    <row r="787" spans="1:33" x14ac:dyDescent="0.25">
      <c r="A787" s="120">
        <v>786</v>
      </c>
      <c r="B787" s="120" t="b">
        <v>0</v>
      </c>
      <c r="C787" s="120">
        <v>0</v>
      </c>
      <c r="D787" s="61">
        <v>2</v>
      </c>
      <c r="E787" s="120">
        <v>1</v>
      </c>
      <c r="F787" s="120" t="s">
        <v>183</v>
      </c>
      <c r="G787" s="55">
        <v>400</v>
      </c>
      <c r="H787" s="120">
        <v>2134</v>
      </c>
      <c r="I787" s="57">
        <v>100</v>
      </c>
      <c r="J787" s="120">
        <v>110</v>
      </c>
      <c r="K787" s="120">
        <v>1</v>
      </c>
      <c r="L787" s="120">
        <v>50</v>
      </c>
      <c r="M787" s="120">
        <v>15</v>
      </c>
      <c r="N787" s="120">
        <v>40</v>
      </c>
      <c r="O787" s="120">
        <v>2</v>
      </c>
      <c r="P787" s="120">
        <v>5</v>
      </c>
      <c r="Q787" s="120">
        <v>420</v>
      </c>
      <c r="R787" s="120">
        <v>331.60000610351602</v>
      </c>
      <c r="S787" s="148">
        <v>15.5</v>
      </c>
      <c r="T787" s="120">
        <v>65</v>
      </c>
      <c r="U787" s="120">
        <v>20</v>
      </c>
      <c r="V787" s="120">
        <v>-9999</v>
      </c>
      <c r="W787" s="120">
        <v>-9999</v>
      </c>
      <c r="X787" s="120">
        <v>-9999</v>
      </c>
      <c r="Y787" s="120">
        <v>-9999</v>
      </c>
      <c r="Z787" s="120">
        <v>-9999</v>
      </c>
      <c r="AA787" s="120">
        <v>68</v>
      </c>
      <c r="AB787" s="120">
        <v>14.5</v>
      </c>
      <c r="AC787" s="120">
        <v>786</v>
      </c>
      <c r="AD787" s="120">
        <v>2058</v>
      </c>
      <c r="AE787" s="120">
        <v>-9999</v>
      </c>
      <c r="AF787" s="120">
        <v>-9999</v>
      </c>
      <c r="AG787" s="120">
        <v>-9999</v>
      </c>
    </row>
    <row r="788" spans="1:33" x14ac:dyDescent="0.25">
      <c r="A788" s="120">
        <v>787</v>
      </c>
      <c r="B788" s="120" t="b">
        <v>0</v>
      </c>
      <c r="C788" s="120">
        <v>0</v>
      </c>
      <c r="D788" s="61">
        <v>2</v>
      </c>
      <c r="E788" s="120">
        <v>1</v>
      </c>
      <c r="F788" s="120" t="s">
        <v>183</v>
      </c>
      <c r="G788" s="55">
        <v>400</v>
      </c>
      <c r="H788" s="120">
        <v>2236</v>
      </c>
      <c r="I788" s="57">
        <v>100</v>
      </c>
      <c r="J788" s="120">
        <v>100</v>
      </c>
      <c r="K788" s="120">
        <v>2</v>
      </c>
      <c r="L788" s="120">
        <v>50</v>
      </c>
      <c r="M788" s="120">
        <v>15</v>
      </c>
      <c r="N788" s="120">
        <v>40</v>
      </c>
      <c r="O788" s="120">
        <v>2</v>
      </c>
      <c r="P788" s="120">
        <v>20</v>
      </c>
      <c r="Q788" s="120">
        <v>440</v>
      </c>
      <c r="R788" s="120">
        <v>347.29998779296898</v>
      </c>
      <c r="S788" s="148">
        <v>15.5</v>
      </c>
      <c r="T788" s="120">
        <v>65</v>
      </c>
      <c r="U788" s="120">
        <v>20</v>
      </c>
      <c r="V788" s="120">
        <v>-9999</v>
      </c>
      <c r="W788" s="120">
        <v>-9999</v>
      </c>
      <c r="X788" s="120">
        <v>-9999</v>
      </c>
      <c r="Y788" s="120">
        <v>-9999</v>
      </c>
      <c r="Z788" s="120">
        <v>-9999</v>
      </c>
      <c r="AA788" s="120">
        <v>68</v>
      </c>
      <c r="AB788" s="120">
        <v>14.5</v>
      </c>
      <c r="AC788" s="120">
        <v>787</v>
      </c>
      <c r="AD788" s="120">
        <v>2059</v>
      </c>
      <c r="AE788" s="120">
        <v>-9999</v>
      </c>
      <c r="AF788" s="120">
        <v>-9999</v>
      </c>
      <c r="AG788" s="120">
        <v>-9999</v>
      </c>
    </row>
    <row r="789" spans="1:33" x14ac:dyDescent="0.25">
      <c r="A789" s="120">
        <v>788</v>
      </c>
      <c r="B789" s="120" t="b">
        <v>0</v>
      </c>
      <c r="C789" s="120">
        <v>0</v>
      </c>
      <c r="D789" s="61">
        <v>2</v>
      </c>
      <c r="E789" s="120">
        <v>1</v>
      </c>
      <c r="F789" s="120" t="s">
        <v>183</v>
      </c>
      <c r="G789" s="55">
        <v>400</v>
      </c>
      <c r="H789" s="120">
        <v>2236</v>
      </c>
      <c r="I789" s="57">
        <v>100</v>
      </c>
      <c r="J789" s="120">
        <v>100</v>
      </c>
      <c r="K789" s="120">
        <v>3</v>
      </c>
      <c r="L789" s="120">
        <v>40</v>
      </c>
      <c r="M789" s="120">
        <v>15</v>
      </c>
      <c r="N789" s="120">
        <v>40</v>
      </c>
      <c r="O789" s="120">
        <v>2</v>
      </c>
      <c r="P789" s="120">
        <v>16.666999816894499</v>
      </c>
      <c r="Q789" s="120">
        <v>440</v>
      </c>
      <c r="R789" s="120">
        <v>347.29998779296898</v>
      </c>
      <c r="S789" s="148">
        <v>15.5</v>
      </c>
      <c r="T789" s="120">
        <v>57</v>
      </c>
      <c r="U789" s="120">
        <v>20</v>
      </c>
      <c r="V789" s="120">
        <v>-9999</v>
      </c>
      <c r="W789" s="120">
        <v>-9999</v>
      </c>
      <c r="X789" s="120">
        <v>-9999</v>
      </c>
      <c r="Y789" s="120">
        <v>-9999</v>
      </c>
      <c r="Z789" s="120">
        <v>-9999</v>
      </c>
      <c r="AA789" s="120">
        <v>68</v>
      </c>
      <c r="AB789" s="120">
        <v>14.5</v>
      </c>
      <c r="AC789" s="120">
        <v>788</v>
      </c>
      <c r="AD789" s="120">
        <v>2060</v>
      </c>
      <c r="AE789" s="120">
        <v>-9999</v>
      </c>
      <c r="AF789" s="120">
        <v>-9999</v>
      </c>
      <c r="AG789" s="120">
        <v>-9999</v>
      </c>
    </row>
    <row r="790" spans="1:33" x14ac:dyDescent="0.25">
      <c r="A790" s="120">
        <v>789</v>
      </c>
      <c r="B790" s="120" t="b">
        <v>0</v>
      </c>
      <c r="C790" s="120">
        <v>0</v>
      </c>
      <c r="D790" s="61">
        <v>2</v>
      </c>
      <c r="E790" s="120">
        <v>1</v>
      </c>
      <c r="F790" s="120" t="s">
        <v>183</v>
      </c>
      <c r="G790" s="55">
        <v>400</v>
      </c>
      <c r="H790" s="120">
        <v>2134</v>
      </c>
      <c r="I790" s="57">
        <v>100</v>
      </c>
      <c r="J790" s="120">
        <v>110</v>
      </c>
      <c r="K790" s="120">
        <v>4</v>
      </c>
      <c r="L790" s="120">
        <v>100</v>
      </c>
      <c r="M790" s="120">
        <v>15</v>
      </c>
      <c r="N790" s="120">
        <v>40</v>
      </c>
      <c r="O790" s="120">
        <v>2</v>
      </c>
      <c r="P790" s="120">
        <v>-9999</v>
      </c>
      <c r="Q790" s="120">
        <v>420</v>
      </c>
      <c r="R790" s="120">
        <v>331.60000610351602</v>
      </c>
      <c r="S790" s="148">
        <v>15.5</v>
      </c>
      <c r="T790" s="120">
        <v>-9999</v>
      </c>
      <c r="U790" s="120">
        <v>20</v>
      </c>
      <c r="V790" s="120">
        <v>-9999</v>
      </c>
      <c r="W790" s="120">
        <v>-9999</v>
      </c>
      <c r="X790" s="120">
        <v>-9999</v>
      </c>
      <c r="Y790" s="120">
        <v>-9999</v>
      </c>
      <c r="Z790" s="120">
        <v>-9999</v>
      </c>
      <c r="AA790" s="120">
        <v>68</v>
      </c>
      <c r="AB790" s="120">
        <v>14.5</v>
      </c>
      <c r="AC790" s="120">
        <v>789</v>
      </c>
      <c r="AD790" s="120">
        <v>2061</v>
      </c>
      <c r="AE790" s="120">
        <v>-9999</v>
      </c>
      <c r="AF790" s="120">
        <v>-9999</v>
      </c>
      <c r="AG790" s="120">
        <v>-9999</v>
      </c>
    </row>
    <row r="791" spans="1:33" x14ac:dyDescent="0.25">
      <c r="A791" s="120">
        <v>790</v>
      </c>
      <c r="B791" s="120" t="b">
        <v>0</v>
      </c>
      <c r="C791" s="120">
        <v>0</v>
      </c>
      <c r="D791" s="61">
        <v>2</v>
      </c>
      <c r="E791" s="120">
        <v>1</v>
      </c>
      <c r="F791" s="120" t="s">
        <v>183</v>
      </c>
      <c r="G791" s="55">
        <v>400</v>
      </c>
      <c r="H791" s="120">
        <v>2134</v>
      </c>
      <c r="I791" s="57">
        <v>100</v>
      </c>
      <c r="J791" s="120">
        <v>110</v>
      </c>
      <c r="K791" s="120">
        <v>11</v>
      </c>
      <c r="L791" s="120">
        <v>60</v>
      </c>
      <c r="M791" s="120">
        <v>15</v>
      </c>
      <c r="N791" s="120">
        <v>40</v>
      </c>
      <c r="O791" s="120">
        <v>2</v>
      </c>
      <c r="P791" s="120">
        <v>25</v>
      </c>
      <c r="Q791" s="120">
        <v>420</v>
      </c>
      <c r="R791" s="120">
        <v>331.60000610351602</v>
      </c>
      <c r="S791" s="148">
        <v>15.5</v>
      </c>
      <c r="T791" s="120">
        <v>70</v>
      </c>
      <c r="U791" s="120">
        <v>20</v>
      </c>
      <c r="V791" s="120">
        <v>-9999</v>
      </c>
      <c r="W791" s="120">
        <v>-9999</v>
      </c>
      <c r="X791" s="120">
        <v>-9999</v>
      </c>
      <c r="Y791" s="120">
        <v>-9999</v>
      </c>
      <c r="Z791" s="120">
        <v>-9999</v>
      </c>
      <c r="AA791" s="120">
        <v>68</v>
      </c>
      <c r="AB791" s="120">
        <v>14.5</v>
      </c>
      <c r="AC791" s="120">
        <v>790</v>
      </c>
      <c r="AD791" s="120">
        <v>2062</v>
      </c>
      <c r="AE791" s="120">
        <v>-9999</v>
      </c>
      <c r="AF791" s="120">
        <v>-9999</v>
      </c>
      <c r="AG791" s="120">
        <v>-9999</v>
      </c>
    </row>
    <row r="792" spans="1:33" x14ac:dyDescent="0.25">
      <c r="A792" s="120">
        <v>791</v>
      </c>
      <c r="B792" s="120" t="b">
        <v>0</v>
      </c>
      <c r="C792" s="120">
        <v>0</v>
      </c>
      <c r="D792" s="61">
        <v>2</v>
      </c>
      <c r="E792" s="120">
        <v>1</v>
      </c>
      <c r="F792" s="120" t="s">
        <v>183</v>
      </c>
      <c r="G792" s="55">
        <v>400</v>
      </c>
      <c r="H792" s="120">
        <v>1964</v>
      </c>
      <c r="I792" s="57">
        <v>125</v>
      </c>
      <c r="J792" s="120">
        <v>135</v>
      </c>
      <c r="K792" s="120">
        <v>1</v>
      </c>
      <c r="L792" s="120">
        <v>50</v>
      </c>
      <c r="M792" s="120">
        <v>15</v>
      </c>
      <c r="N792" s="120">
        <v>40</v>
      </c>
      <c r="O792" s="120">
        <v>2</v>
      </c>
      <c r="P792" s="120">
        <v>5</v>
      </c>
      <c r="Q792" s="120">
        <v>420</v>
      </c>
      <c r="R792" s="120">
        <v>331.60000610351602</v>
      </c>
      <c r="S792" s="148">
        <v>16.899999618530298</v>
      </c>
      <c r="T792" s="120">
        <v>65</v>
      </c>
      <c r="U792" s="120">
        <v>20</v>
      </c>
      <c r="V792" s="120">
        <v>-9999</v>
      </c>
      <c r="W792" s="120">
        <v>-9999</v>
      </c>
      <c r="X792" s="120">
        <v>-9999</v>
      </c>
      <c r="Y792" s="120">
        <v>-9999</v>
      </c>
      <c r="Z792" s="120">
        <v>-9999</v>
      </c>
      <c r="AA792" s="120">
        <v>68</v>
      </c>
      <c r="AB792" s="120">
        <v>14.5</v>
      </c>
      <c r="AC792" s="120">
        <v>791</v>
      </c>
      <c r="AD792" s="120">
        <v>2063</v>
      </c>
      <c r="AE792" s="120">
        <v>-9999</v>
      </c>
      <c r="AF792" s="120">
        <v>-9999</v>
      </c>
      <c r="AG792" s="120">
        <v>-9999</v>
      </c>
    </row>
    <row r="793" spans="1:33" x14ac:dyDescent="0.25">
      <c r="A793" s="120">
        <v>792</v>
      </c>
      <c r="B793" s="120" t="b">
        <v>0</v>
      </c>
      <c r="C793" s="120">
        <v>0</v>
      </c>
      <c r="D793" s="61">
        <v>2</v>
      </c>
      <c r="E793" s="120">
        <v>1</v>
      </c>
      <c r="F793" s="120" t="s">
        <v>183</v>
      </c>
      <c r="G793" s="55">
        <v>400</v>
      </c>
      <c r="H793" s="120">
        <v>2057</v>
      </c>
      <c r="I793" s="57">
        <v>125</v>
      </c>
      <c r="J793" s="120">
        <v>125</v>
      </c>
      <c r="K793" s="120">
        <v>2</v>
      </c>
      <c r="L793" s="120">
        <v>50</v>
      </c>
      <c r="M793" s="120">
        <v>15</v>
      </c>
      <c r="N793" s="120">
        <v>40</v>
      </c>
      <c r="O793" s="120">
        <v>2</v>
      </c>
      <c r="P793" s="120">
        <v>20</v>
      </c>
      <c r="Q793" s="120">
        <v>440</v>
      </c>
      <c r="R793" s="120">
        <v>347.29998779296898</v>
      </c>
      <c r="S793" s="148">
        <v>16.899999618530298</v>
      </c>
      <c r="T793" s="120">
        <v>65</v>
      </c>
      <c r="U793" s="120">
        <v>20</v>
      </c>
      <c r="V793" s="120">
        <v>-9999</v>
      </c>
      <c r="W793" s="120">
        <v>-9999</v>
      </c>
      <c r="X793" s="120">
        <v>-9999</v>
      </c>
      <c r="Y793" s="120">
        <v>-9999</v>
      </c>
      <c r="Z793" s="120">
        <v>-9999</v>
      </c>
      <c r="AA793" s="120">
        <v>68</v>
      </c>
      <c r="AB793" s="120">
        <v>14.5</v>
      </c>
      <c r="AC793" s="120">
        <v>792</v>
      </c>
      <c r="AD793" s="120">
        <v>2064</v>
      </c>
      <c r="AE793" s="120">
        <v>-9999</v>
      </c>
      <c r="AF793" s="120">
        <v>-9999</v>
      </c>
      <c r="AG793" s="120">
        <v>-9999</v>
      </c>
    </row>
    <row r="794" spans="1:33" x14ac:dyDescent="0.25">
      <c r="A794" s="120">
        <v>793</v>
      </c>
      <c r="B794" s="120" t="b">
        <v>0</v>
      </c>
      <c r="C794" s="120">
        <v>0</v>
      </c>
      <c r="D794" s="61">
        <v>2</v>
      </c>
      <c r="E794" s="120">
        <v>1</v>
      </c>
      <c r="F794" s="120" t="s">
        <v>183</v>
      </c>
      <c r="G794" s="55">
        <v>400</v>
      </c>
      <c r="H794" s="120">
        <v>2057</v>
      </c>
      <c r="I794" s="57">
        <v>125</v>
      </c>
      <c r="J794" s="120">
        <v>125</v>
      </c>
      <c r="K794" s="120">
        <v>3</v>
      </c>
      <c r="L794" s="120">
        <v>40</v>
      </c>
      <c r="M794" s="120">
        <v>15</v>
      </c>
      <c r="N794" s="120">
        <v>40</v>
      </c>
      <c r="O794" s="120">
        <v>2</v>
      </c>
      <c r="P794" s="120">
        <v>16.666999816894499</v>
      </c>
      <c r="Q794" s="120">
        <v>440</v>
      </c>
      <c r="R794" s="120">
        <v>347.29998779296898</v>
      </c>
      <c r="S794" s="148">
        <v>16.899999618530298</v>
      </c>
      <c r="T794" s="120">
        <v>57</v>
      </c>
      <c r="U794" s="120">
        <v>20</v>
      </c>
      <c r="V794" s="120">
        <v>-9999</v>
      </c>
      <c r="W794" s="120">
        <v>-9999</v>
      </c>
      <c r="X794" s="120">
        <v>-9999</v>
      </c>
      <c r="Y794" s="120">
        <v>-9999</v>
      </c>
      <c r="Z794" s="120">
        <v>-9999</v>
      </c>
      <c r="AA794" s="120">
        <v>68</v>
      </c>
      <c r="AB794" s="120">
        <v>14.5</v>
      </c>
      <c r="AC794" s="120">
        <v>793</v>
      </c>
      <c r="AD794" s="120">
        <v>2065</v>
      </c>
      <c r="AE794" s="120">
        <v>-9999</v>
      </c>
      <c r="AF794" s="120">
        <v>-9999</v>
      </c>
      <c r="AG794" s="120">
        <v>-9999</v>
      </c>
    </row>
    <row r="795" spans="1:33" x14ac:dyDescent="0.25">
      <c r="A795" s="120">
        <v>794</v>
      </c>
      <c r="B795" s="120" t="b">
        <v>0</v>
      </c>
      <c r="C795" s="120">
        <v>0</v>
      </c>
      <c r="D795" s="61">
        <v>2</v>
      </c>
      <c r="E795" s="120">
        <v>1</v>
      </c>
      <c r="F795" s="120" t="s">
        <v>183</v>
      </c>
      <c r="G795" s="55">
        <v>400</v>
      </c>
      <c r="H795" s="120">
        <v>1964</v>
      </c>
      <c r="I795" s="57">
        <v>125</v>
      </c>
      <c r="J795" s="120">
        <v>135</v>
      </c>
      <c r="K795" s="120">
        <v>4</v>
      </c>
      <c r="L795" s="120">
        <v>100</v>
      </c>
      <c r="M795" s="120">
        <v>15</v>
      </c>
      <c r="N795" s="120">
        <v>40</v>
      </c>
      <c r="O795" s="120">
        <v>2</v>
      </c>
      <c r="P795" s="120">
        <v>-9999</v>
      </c>
      <c r="Q795" s="120">
        <v>420</v>
      </c>
      <c r="R795" s="120">
        <v>331.60000610351602</v>
      </c>
      <c r="S795" s="148">
        <v>16.899999618530298</v>
      </c>
      <c r="T795" s="120">
        <v>-9999</v>
      </c>
      <c r="U795" s="120">
        <v>20</v>
      </c>
      <c r="V795" s="120">
        <v>-9999</v>
      </c>
      <c r="W795" s="120">
        <v>-9999</v>
      </c>
      <c r="X795" s="120">
        <v>-9999</v>
      </c>
      <c r="Y795" s="120">
        <v>-9999</v>
      </c>
      <c r="Z795" s="120">
        <v>-9999</v>
      </c>
      <c r="AA795" s="120">
        <v>68</v>
      </c>
      <c r="AB795" s="120">
        <v>14.5</v>
      </c>
      <c r="AC795" s="120">
        <v>794</v>
      </c>
      <c r="AD795" s="120">
        <v>2066</v>
      </c>
      <c r="AE795" s="120">
        <v>-9999</v>
      </c>
      <c r="AF795" s="120">
        <v>-9999</v>
      </c>
      <c r="AG795" s="120">
        <v>-9999</v>
      </c>
    </row>
    <row r="796" spans="1:33" x14ac:dyDescent="0.25">
      <c r="A796" s="120">
        <v>795</v>
      </c>
      <c r="B796" s="120" t="b">
        <v>0</v>
      </c>
      <c r="C796" s="120">
        <v>0</v>
      </c>
      <c r="D796" s="61">
        <v>2</v>
      </c>
      <c r="E796" s="120">
        <v>1</v>
      </c>
      <c r="F796" s="120" t="s">
        <v>183</v>
      </c>
      <c r="G796" s="55">
        <v>400</v>
      </c>
      <c r="H796" s="120">
        <v>1964</v>
      </c>
      <c r="I796" s="57">
        <v>125</v>
      </c>
      <c r="J796" s="120">
        <v>135</v>
      </c>
      <c r="K796" s="120">
        <v>11</v>
      </c>
      <c r="L796" s="120">
        <v>60</v>
      </c>
      <c r="M796" s="120">
        <v>15</v>
      </c>
      <c r="N796" s="120">
        <v>40</v>
      </c>
      <c r="O796" s="120">
        <v>2</v>
      </c>
      <c r="P796" s="120">
        <v>25</v>
      </c>
      <c r="Q796" s="120">
        <v>420</v>
      </c>
      <c r="R796" s="120">
        <v>331.60000610351602</v>
      </c>
      <c r="S796" s="148">
        <v>16.899999618530298</v>
      </c>
      <c r="T796" s="120">
        <v>70</v>
      </c>
      <c r="U796" s="120">
        <v>20</v>
      </c>
      <c r="V796" s="120">
        <v>-9999</v>
      </c>
      <c r="W796" s="120">
        <v>-9999</v>
      </c>
      <c r="X796" s="120">
        <v>-9999</v>
      </c>
      <c r="Y796" s="120">
        <v>-9999</v>
      </c>
      <c r="Z796" s="120">
        <v>-9999</v>
      </c>
      <c r="AA796" s="120">
        <v>68</v>
      </c>
      <c r="AB796" s="120">
        <v>14.5</v>
      </c>
      <c r="AC796" s="120">
        <v>795</v>
      </c>
      <c r="AD796" s="120">
        <v>2067</v>
      </c>
      <c r="AE796" s="120">
        <v>-9999</v>
      </c>
      <c r="AF796" s="120">
        <v>-9999</v>
      </c>
      <c r="AG796" s="120">
        <v>-9999</v>
      </c>
    </row>
    <row r="797" spans="1:33" x14ac:dyDescent="0.25">
      <c r="A797" s="120">
        <v>796</v>
      </c>
      <c r="B797" s="120" t="b">
        <v>0</v>
      </c>
      <c r="C797" s="120">
        <v>0</v>
      </c>
      <c r="D797" s="61">
        <v>2</v>
      </c>
      <c r="E797" s="120">
        <v>1</v>
      </c>
      <c r="F797" s="120" t="s">
        <v>183</v>
      </c>
      <c r="G797" s="55">
        <v>400</v>
      </c>
      <c r="H797" s="120">
        <v>1837</v>
      </c>
      <c r="I797" s="57">
        <v>140</v>
      </c>
      <c r="J797" s="120">
        <v>150</v>
      </c>
      <c r="K797" s="120">
        <v>1</v>
      </c>
      <c r="L797" s="120">
        <v>50</v>
      </c>
      <c r="M797" s="120">
        <v>15</v>
      </c>
      <c r="N797" s="120">
        <v>40</v>
      </c>
      <c r="O797" s="120">
        <v>2</v>
      </c>
      <c r="P797" s="120">
        <v>5</v>
      </c>
      <c r="Q797" s="120">
        <v>420</v>
      </c>
      <c r="R797" s="120">
        <v>331.60000610351602</v>
      </c>
      <c r="S797" s="148">
        <v>18.100000381469702</v>
      </c>
      <c r="T797" s="120">
        <v>65</v>
      </c>
      <c r="U797" s="120">
        <v>20</v>
      </c>
      <c r="V797" s="120">
        <v>-9999</v>
      </c>
      <c r="W797" s="120">
        <v>-9999</v>
      </c>
      <c r="X797" s="120">
        <v>-9999</v>
      </c>
      <c r="Y797" s="120">
        <v>-9999</v>
      </c>
      <c r="Z797" s="120">
        <v>-9999</v>
      </c>
      <c r="AA797" s="120">
        <v>68</v>
      </c>
      <c r="AB797" s="120">
        <v>14.5</v>
      </c>
      <c r="AC797" s="120">
        <v>796</v>
      </c>
      <c r="AD797" s="120">
        <v>2068</v>
      </c>
      <c r="AE797" s="120">
        <v>-9999</v>
      </c>
      <c r="AF797" s="120">
        <v>-9999</v>
      </c>
      <c r="AG797" s="120">
        <v>-9999</v>
      </c>
    </row>
    <row r="798" spans="1:33" x14ac:dyDescent="0.25">
      <c r="A798" s="120">
        <v>797</v>
      </c>
      <c r="B798" s="120" t="b">
        <v>0</v>
      </c>
      <c r="C798" s="120">
        <v>0</v>
      </c>
      <c r="D798" s="61">
        <v>2</v>
      </c>
      <c r="E798" s="120">
        <v>1</v>
      </c>
      <c r="F798" s="120" t="s">
        <v>183</v>
      </c>
      <c r="G798" s="55">
        <v>400</v>
      </c>
      <c r="H798" s="120">
        <v>1924</v>
      </c>
      <c r="I798" s="57">
        <v>140</v>
      </c>
      <c r="J798" s="120">
        <v>140</v>
      </c>
      <c r="K798" s="120">
        <v>2</v>
      </c>
      <c r="L798" s="120">
        <v>50</v>
      </c>
      <c r="M798" s="120">
        <v>15</v>
      </c>
      <c r="N798" s="120">
        <v>40</v>
      </c>
      <c r="O798" s="120">
        <v>2</v>
      </c>
      <c r="P798" s="120">
        <v>20</v>
      </c>
      <c r="Q798" s="120">
        <v>440</v>
      </c>
      <c r="R798" s="120">
        <v>347.29998779296898</v>
      </c>
      <c r="S798" s="148">
        <v>18.100000381469702</v>
      </c>
      <c r="T798" s="120">
        <v>65</v>
      </c>
      <c r="U798" s="120">
        <v>20</v>
      </c>
      <c r="V798" s="120">
        <v>-9999</v>
      </c>
      <c r="W798" s="120">
        <v>-9999</v>
      </c>
      <c r="X798" s="120">
        <v>-9999</v>
      </c>
      <c r="Y798" s="120">
        <v>-9999</v>
      </c>
      <c r="Z798" s="120">
        <v>-9999</v>
      </c>
      <c r="AA798" s="120">
        <v>68</v>
      </c>
      <c r="AB798" s="120">
        <v>14.5</v>
      </c>
      <c r="AC798" s="120">
        <v>797</v>
      </c>
      <c r="AD798" s="120">
        <v>2069</v>
      </c>
      <c r="AE798" s="120">
        <v>-9999</v>
      </c>
      <c r="AF798" s="120">
        <v>-9999</v>
      </c>
      <c r="AG798" s="120">
        <v>-9999</v>
      </c>
    </row>
    <row r="799" spans="1:33" x14ac:dyDescent="0.25">
      <c r="A799" s="120">
        <v>798</v>
      </c>
      <c r="B799" s="120" t="b">
        <v>0</v>
      </c>
      <c r="C799" s="120">
        <v>0</v>
      </c>
      <c r="D799" s="61">
        <v>2</v>
      </c>
      <c r="E799" s="120">
        <v>1</v>
      </c>
      <c r="F799" s="120" t="s">
        <v>183</v>
      </c>
      <c r="G799" s="55">
        <v>400</v>
      </c>
      <c r="H799" s="120">
        <v>1924</v>
      </c>
      <c r="I799" s="57">
        <v>140</v>
      </c>
      <c r="J799" s="120">
        <v>140</v>
      </c>
      <c r="K799" s="120">
        <v>3</v>
      </c>
      <c r="L799" s="120">
        <v>40</v>
      </c>
      <c r="M799" s="120">
        <v>15</v>
      </c>
      <c r="N799" s="120">
        <v>40</v>
      </c>
      <c r="O799" s="120">
        <v>2</v>
      </c>
      <c r="P799" s="120">
        <v>16.666999816894499</v>
      </c>
      <c r="Q799" s="120">
        <v>440</v>
      </c>
      <c r="R799" s="120">
        <v>347.29998779296898</v>
      </c>
      <c r="S799" s="148">
        <v>18.100000381469702</v>
      </c>
      <c r="T799" s="120">
        <v>57</v>
      </c>
      <c r="U799" s="120">
        <v>20</v>
      </c>
      <c r="V799" s="120">
        <v>-9999</v>
      </c>
      <c r="W799" s="120">
        <v>-9999</v>
      </c>
      <c r="X799" s="120">
        <v>-9999</v>
      </c>
      <c r="Y799" s="120">
        <v>-9999</v>
      </c>
      <c r="Z799" s="120">
        <v>-9999</v>
      </c>
      <c r="AA799" s="120">
        <v>68</v>
      </c>
      <c r="AB799" s="120">
        <v>14.5</v>
      </c>
      <c r="AC799" s="120">
        <v>798</v>
      </c>
      <c r="AD799" s="120">
        <v>2070</v>
      </c>
      <c r="AE799" s="120">
        <v>-9999</v>
      </c>
      <c r="AF799" s="120">
        <v>-9999</v>
      </c>
      <c r="AG799" s="120">
        <v>-9999</v>
      </c>
    </row>
    <row r="800" spans="1:33" x14ac:dyDescent="0.25">
      <c r="A800" s="120">
        <v>799</v>
      </c>
      <c r="B800" s="120" t="b">
        <v>0</v>
      </c>
      <c r="C800" s="120">
        <v>0</v>
      </c>
      <c r="D800" s="61">
        <v>2</v>
      </c>
      <c r="E800" s="120">
        <v>1</v>
      </c>
      <c r="F800" s="120" t="s">
        <v>183</v>
      </c>
      <c r="G800" s="55">
        <v>400</v>
      </c>
      <c r="H800" s="120">
        <v>1837</v>
      </c>
      <c r="I800" s="57">
        <v>140</v>
      </c>
      <c r="J800" s="120">
        <v>150</v>
      </c>
      <c r="K800" s="120">
        <v>4</v>
      </c>
      <c r="L800" s="120">
        <v>100</v>
      </c>
      <c r="M800" s="120">
        <v>15</v>
      </c>
      <c r="N800" s="120">
        <v>40</v>
      </c>
      <c r="O800" s="120">
        <v>2</v>
      </c>
      <c r="P800" s="120">
        <v>-9999</v>
      </c>
      <c r="Q800" s="120">
        <v>420</v>
      </c>
      <c r="R800" s="120">
        <v>331.60000610351602</v>
      </c>
      <c r="S800" s="148">
        <v>18.100000381469702</v>
      </c>
      <c r="T800" s="120">
        <v>-9999</v>
      </c>
      <c r="U800" s="120">
        <v>20</v>
      </c>
      <c r="V800" s="120">
        <v>-9999</v>
      </c>
      <c r="W800" s="120">
        <v>-9999</v>
      </c>
      <c r="X800" s="120">
        <v>-9999</v>
      </c>
      <c r="Y800" s="120">
        <v>-9999</v>
      </c>
      <c r="Z800" s="120">
        <v>-9999</v>
      </c>
      <c r="AA800" s="120">
        <v>68</v>
      </c>
      <c r="AB800" s="120">
        <v>14.5</v>
      </c>
      <c r="AC800" s="120">
        <v>799</v>
      </c>
      <c r="AD800" s="120">
        <v>2071</v>
      </c>
      <c r="AE800" s="120">
        <v>-9999</v>
      </c>
      <c r="AF800" s="120">
        <v>-9999</v>
      </c>
      <c r="AG800" s="120">
        <v>-9999</v>
      </c>
    </row>
    <row r="801" spans="1:33" x14ac:dyDescent="0.25">
      <c r="A801" s="120">
        <v>800</v>
      </c>
      <c r="B801" s="120" t="b">
        <v>0</v>
      </c>
      <c r="C801" s="120">
        <v>0</v>
      </c>
      <c r="D801" s="61">
        <v>2</v>
      </c>
      <c r="E801" s="120">
        <v>1</v>
      </c>
      <c r="F801" s="120" t="s">
        <v>183</v>
      </c>
      <c r="G801" s="55">
        <v>400</v>
      </c>
      <c r="H801" s="120">
        <v>1837</v>
      </c>
      <c r="I801" s="57">
        <v>140</v>
      </c>
      <c r="J801" s="120">
        <v>150</v>
      </c>
      <c r="K801" s="120">
        <v>11</v>
      </c>
      <c r="L801" s="120">
        <v>60</v>
      </c>
      <c r="M801" s="120">
        <v>15</v>
      </c>
      <c r="N801" s="120">
        <v>40</v>
      </c>
      <c r="O801" s="120">
        <v>2</v>
      </c>
      <c r="P801" s="120">
        <v>25</v>
      </c>
      <c r="Q801" s="120">
        <v>420</v>
      </c>
      <c r="R801" s="120">
        <v>331.60000610351602</v>
      </c>
      <c r="S801" s="148">
        <v>18.100000381469702</v>
      </c>
      <c r="T801" s="120">
        <v>70</v>
      </c>
      <c r="U801" s="120">
        <v>20</v>
      </c>
      <c r="V801" s="120">
        <v>-9999</v>
      </c>
      <c r="W801" s="120">
        <v>-9999</v>
      </c>
      <c r="X801" s="120">
        <v>-9999</v>
      </c>
      <c r="Y801" s="120">
        <v>-9999</v>
      </c>
      <c r="Z801" s="120">
        <v>-9999</v>
      </c>
      <c r="AA801" s="120">
        <v>68</v>
      </c>
      <c r="AB801" s="120">
        <v>14.5</v>
      </c>
      <c r="AC801" s="120">
        <v>800</v>
      </c>
      <c r="AD801" s="120">
        <v>2072</v>
      </c>
      <c r="AE801" s="120">
        <v>-9999</v>
      </c>
      <c r="AF801" s="120">
        <v>-9999</v>
      </c>
      <c r="AG801" s="120">
        <v>-9999</v>
      </c>
    </row>
    <row r="802" spans="1:33" x14ac:dyDescent="0.25">
      <c r="A802" s="120">
        <v>801</v>
      </c>
      <c r="B802" s="120" t="b">
        <v>0</v>
      </c>
      <c r="C802" s="120">
        <v>0</v>
      </c>
      <c r="D802" s="61">
        <v>2</v>
      </c>
      <c r="E802" s="120">
        <v>1</v>
      </c>
      <c r="F802" s="120" t="s">
        <v>183</v>
      </c>
      <c r="G802" s="55">
        <v>400</v>
      </c>
      <c r="H802" s="120">
        <v>1473</v>
      </c>
      <c r="I802" s="57">
        <v>200</v>
      </c>
      <c r="J802" s="120">
        <v>210</v>
      </c>
      <c r="K802" s="120">
        <v>1</v>
      </c>
      <c r="L802" s="120">
        <v>50</v>
      </c>
      <c r="M802" s="120">
        <v>15</v>
      </c>
      <c r="N802" s="120">
        <v>40</v>
      </c>
      <c r="O802" s="120">
        <v>2</v>
      </c>
      <c r="P802" s="120">
        <v>5</v>
      </c>
      <c r="Q802" s="120">
        <v>420</v>
      </c>
      <c r="R802" s="120">
        <v>331.60000610351602</v>
      </c>
      <c r="S802" s="148">
        <v>22.5</v>
      </c>
      <c r="T802" s="120">
        <v>65</v>
      </c>
      <c r="U802" s="120">
        <v>20</v>
      </c>
      <c r="V802" s="120">
        <v>-9999</v>
      </c>
      <c r="W802" s="120">
        <v>-9999</v>
      </c>
      <c r="X802" s="120">
        <v>-9999</v>
      </c>
      <c r="Y802" s="120">
        <v>-9999</v>
      </c>
      <c r="Z802" s="120">
        <v>-9999</v>
      </c>
      <c r="AA802" s="120">
        <v>68</v>
      </c>
      <c r="AB802" s="120">
        <v>14.5</v>
      </c>
      <c r="AC802" s="120">
        <v>801</v>
      </c>
      <c r="AD802" s="120">
        <v>2073</v>
      </c>
      <c r="AE802" s="120">
        <v>-9999</v>
      </c>
      <c r="AF802" s="120">
        <v>-9999</v>
      </c>
      <c r="AG802" s="120">
        <v>-9999</v>
      </c>
    </row>
    <row r="803" spans="1:33" x14ac:dyDescent="0.25">
      <c r="A803" s="120">
        <v>802</v>
      </c>
      <c r="B803" s="120" t="b">
        <v>0</v>
      </c>
      <c r="C803" s="120">
        <v>0</v>
      </c>
      <c r="D803" s="61">
        <v>2</v>
      </c>
      <c r="E803" s="120">
        <v>1</v>
      </c>
      <c r="F803" s="120" t="s">
        <v>183</v>
      </c>
      <c r="G803" s="55">
        <v>400</v>
      </c>
      <c r="H803" s="120">
        <v>1543</v>
      </c>
      <c r="I803" s="57">
        <v>200</v>
      </c>
      <c r="J803" s="120">
        <v>200</v>
      </c>
      <c r="K803" s="120">
        <v>2</v>
      </c>
      <c r="L803" s="120">
        <v>50</v>
      </c>
      <c r="M803" s="120">
        <v>15</v>
      </c>
      <c r="N803" s="120">
        <v>40</v>
      </c>
      <c r="O803" s="120">
        <v>2</v>
      </c>
      <c r="P803" s="120">
        <v>20</v>
      </c>
      <c r="Q803" s="120">
        <v>440</v>
      </c>
      <c r="R803" s="120">
        <v>347.29998779296898</v>
      </c>
      <c r="S803" s="148">
        <v>22.5</v>
      </c>
      <c r="T803" s="120">
        <v>65</v>
      </c>
      <c r="U803" s="120">
        <v>20</v>
      </c>
      <c r="V803" s="120">
        <v>-9999</v>
      </c>
      <c r="W803" s="120">
        <v>-9999</v>
      </c>
      <c r="X803" s="120">
        <v>-9999</v>
      </c>
      <c r="Y803" s="120">
        <v>-9999</v>
      </c>
      <c r="Z803" s="120">
        <v>-9999</v>
      </c>
      <c r="AA803" s="120">
        <v>68</v>
      </c>
      <c r="AB803" s="120">
        <v>14.5</v>
      </c>
      <c r="AC803" s="120">
        <v>802</v>
      </c>
      <c r="AD803" s="120">
        <v>2074</v>
      </c>
      <c r="AE803" s="120">
        <v>-9999</v>
      </c>
      <c r="AF803" s="120">
        <v>-9999</v>
      </c>
      <c r="AG803" s="120">
        <v>-9999</v>
      </c>
    </row>
    <row r="804" spans="1:33" x14ac:dyDescent="0.25">
      <c r="A804" s="120">
        <v>803</v>
      </c>
      <c r="B804" s="120" t="b">
        <v>0</v>
      </c>
      <c r="C804" s="120">
        <v>0</v>
      </c>
      <c r="D804" s="61">
        <v>2</v>
      </c>
      <c r="E804" s="120">
        <v>1</v>
      </c>
      <c r="F804" s="120" t="s">
        <v>183</v>
      </c>
      <c r="G804" s="55">
        <v>400</v>
      </c>
      <c r="H804" s="120">
        <v>1543</v>
      </c>
      <c r="I804" s="57">
        <v>200</v>
      </c>
      <c r="J804" s="120">
        <v>200</v>
      </c>
      <c r="K804" s="120">
        <v>3</v>
      </c>
      <c r="L804" s="120">
        <v>40</v>
      </c>
      <c r="M804" s="120">
        <v>15</v>
      </c>
      <c r="N804" s="120">
        <v>40</v>
      </c>
      <c r="O804" s="120">
        <v>2</v>
      </c>
      <c r="P804" s="120">
        <v>16.666999816894499</v>
      </c>
      <c r="Q804" s="120">
        <v>440</v>
      </c>
      <c r="R804" s="120">
        <v>347.29998779296898</v>
      </c>
      <c r="S804" s="148">
        <v>22.5</v>
      </c>
      <c r="T804" s="120">
        <v>57</v>
      </c>
      <c r="U804" s="120">
        <v>20</v>
      </c>
      <c r="V804" s="120">
        <v>-9999</v>
      </c>
      <c r="W804" s="120">
        <v>-9999</v>
      </c>
      <c r="X804" s="120">
        <v>-9999</v>
      </c>
      <c r="Y804" s="120">
        <v>-9999</v>
      </c>
      <c r="Z804" s="120">
        <v>-9999</v>
      </c>
      <c r="AA804" s="120">
        <v>68</v>
      </c>
      <c r="AB804" s="120">
        <v>14.5</v>
      </c>
      <c r="AC804" s="120">
        <v>803</v>
      </c>
      <c r="AD804" s="120">
        <v>2075</v>
      </c>
      <c r="AE804" s="120">
        <v>-9999</v>
      </c>
      <c r="AF804" s="120">
        <v>-9999</v>
      </c>
      <c r="AG804" s="120">
        <v>-9999</v>
      </c>
    </row>
    <row r="805" spans="1:33" x14ac:dyDescent="0.25">
      <c r="A805" s="120">
        <v>804</v>
      </c>
      <c r="B805" s="120" t="b">
        <v>0</v>
      </c>
      <c r="C805" s="120">
        <v>0</v>
      </c>
      <c r="D805" s="61">
        <v>2</v>
      </c>
      <c r="E805" s="120">
        <v>1</v>
      </c>
      <c r="F805" s="120" t="s">
        <v>183</v>
      </c>
      <c r="G805" s="55">
        <v>400</v>
      </c>
      <c r="H805" s="120">
        <v>1473</v>
      </c>
      <c r="I805" s="57">
        <v>200</v>
      </c>
      <c r="J805" s="120">
        <v>210</v>
      </c>
      <c r="K805" s="120">
        <v>4</v>
      </c>
      <c r="L805" s="120">
        <v>100</v>
      </c>
      <c r="M805" s="120">
        <v>15</v>
      </c>
      <c r="N805" s="120">
        <v>40</v>
      </c>
      <c r="O805" s="120">
        <v>2</v>
      </c>
      <c r="P805" s="120">
        <v>-9999</v>
      </c>
      <c r="Q805" s="120">
        <v>420</v>
      </c>
      <c r="R805" s="120">
        <v>331.60000610351602</v>
      </c>
      <c r="S805" s="148">
        <v>22.5</v>
      </c>
      <c r="T805" s="120">
        <v>-9999</v>
      </c>
      <c r="U805" s="120">
        <v>20</v>
      </c>
      <c r="V805" s="120">
        <v>-9999</v>
      </c>
      <c r="W805" s="120">
        <v>-9999</v>
      </c>
      <c r="X805" s="120">
        <v>-9999</v>
      </c>
      <c r="Y805" s="120">
        <v>-9999</v>
      </c>
      <c r="Z805" s="120">
        <v>-9999</v>
      </c>
      <c r="AA805" s="120">
        <v>68</v>
      </c>
      <c r="AB805" s="120">
        <v>14.5</v>
      </c>
      <c r="AC805" s="120">
        <v>804</v>
      </c>
      <c r="AD805" s="120">
        <v>2076</v>
      </c>
      <c r="AE805" s="120">
        <v>-9999</v>
      </c>
      <c r="AF805" s="120">
        <v>-9999</v>
      </c>
      <c r="AG805" s="120">
        <v>-9999</v>
      </c>
    </row>
    <row r="806" spans="1:33" x14ac:dyDescent="0.25">
      <c r="A806" s="120">
        <v>805</v>
      </c>
      <c r="B806" s="120" t="b">
        <v>0</v>
      </c>
      <c r="C806" s="120">
        <v>0</v>
      </c>
      <c r="D806" s="61">
        <v>2</v>
      </c>
      <c r="E806" s="120">
        <v>1</v>
      </c>
      <c r="F806" s="120" t="s">
        <v>183</v>
      </c>
      <c r="G806" s="55">
        <v>400</v>
      </c>
      <c r="H806" s="120">
        <v>1473</v>
      </c>
      <c r="I806" s="57">
        <v>200</v>
      </c>
      <c r="J806" s="120">
        <v>210</v>
      </c>
      <c r="K806" s="120">
        <v>11</v>
      </c>
      <c r="L806" s="120">
        <v>60</v>
      </c>
      <c r="M806" s="120">
        <v>15</v>
      </c>
      <c r="N806" s="120">
        <v>40</v>
      </c>
      <c r="O806" s="120">
        <v>2</v>
      </c>
      <c r="P806" s="120">
        <v>25</v>
      </c>
      <c r="Q806" s="120">
        <v>420</v>
      </c>
      <c r="R806" s="120">
        <v>331.60000610351602</v>
      </c>
      <c r="S806" s="148">
        <v>22.5</v>
      </c>
      <c r="T806" s="120">
        <v>70</v>
      </c>
      <c r="U806" s="120">
        <v>20</v>
      </c>
      <c r="V806" s="120">
        <v>-9999</v>
      </c>
      <c r="W806" s="120">
        <v>-9999</v>
      </c>
      <c r="X806" s="120">
        <v>-9999</v>
      </c>
      <c r="Y806" s="120">
        <v>-9999</v>
      </c>
      <c r="Z806" s="120">
        <v>-9999</v>
      </c>
      <c r="AA806" s="120">
        <v>68</v>
      </c>
      <c r="AB806" s="120">
        <v>14.5</v>
      </c>
      <c r="AC806" s="120">
        <v>805</v>
      </c>
      <c r="AD806" s="120">
        <v>2077</v>
      </c>
      <c r="AE806" s="120">
        <v>-9999</v>
      </c>
      <c r="AF806" s="120">
        <v>-9999</v>
      </c>
      <c r="AG806" s="120">
        <v>-9999</v>
      </c>
    </row>
    <row r="807" spans="1:33" x14ac:dyDescent="0.25">
      <c r="A807" s="120">
        <v>806</v>
      </c>
      <c r="B807" s="120" t="b">
        <v>0</v>
      </c>
      <c r="C807" s="120">
        <v>0</v>
      </c>
      <c r="D807" s="61">
        <v>2</v>
      </c>
      <c r="E807" s="120">
        <v>1</v>
      </c>
      <c r="F807" s="120" t="s">
        <v>184</v>
      </c>
      <c r="G807" s="55">
        <v>450</v>
      </c>
      <c r="H807" s="120">
        <v>2296</v>
      </c>
      <c r="I807" s="57">
        <v>100</v>
      </c>
      <c r="J807" s="120">
        <v>110</v>
      </c>
      <c r="K807" s="120">
        <v>1</v>
      </c>
      <c r="L807" s="120">
        <v>50</v>
      </c>
      <c r="M807" s="120">
        <v>15</v>
      </c>
      <c r="N807" s="120">
        <v>40</v>
      </c>
      <c r="O807" s="120">
        <v>2</v>
      </c>
      <c r="P807" s="120">
        <v>5</v>
      </c>
      <c r="Q807" s="120">
        <v>472.5</v>
      </c>
      <c r="R807" s="120">
        <v>371</v>
      </c>
      <c r="S807" s="148">
        <v>16.200000762939499</v>
      </c>
      <c r="T807" s="120">
        <v>65</v>
      </c>
      <c r="U807" s="120">
        <v>20</v>
      </c>
      <c r="V807" s="120">
        <v>-9999</v>
      </c>
      <c r="W807" s="120">
        <v>-9999</v>
      </c>
      <c r="X807" s="120">
        <v>-9999</v>
      </c>
      <c r="Y807" s="120">
        <v>-9999</v>
      </c>
      <c r="Z807" s="120">
        <v>-9999</v>
      </c>
      <c r="AA807" s="120">
        <v>68</v>
      </c>
      <c r="AB807" s="120">
        <v>14.5</v>
      </c>
      <c r="AC807" s="120">
        <v>806</v>
      </c>
      <c r="AD807" s="120">
        <v>2078</v>
      </c>
      <c r="AE807" s="120">
        <v>-9999</v>
      </c>
      <c r="AF807" s="120">
        <v>-9999</v>
      </c>
      <c r="AG807" s="120">
        <v>-9999</v>
      </c>
    </row>
    <row r="808" spans="1:33" x14ac:dyDescent="0.25">
      <c r="A808" s="120">
        <v>807</v>
      </c>
      <c r="B808" s="120" t="b">
        <v>0</v>
      </c>
      <c r="C808" s="120">
        <v>0</v>
      </c>
      <c r="D808" s="61">
        <v>2</v>
      </c>
      <c r="E808" s="120">
        <v>1</v>
      </c>
      <c r="F808" s="120" t="s">
        <v>184</v>
      </c>
      <c r="G808" s="55">
        <v>450</v>
      </c>
      <c r="H808" s="120">
        <v>2405</v>
      </c>
      <c r="I808" s="57">
        <v>100</v>
      </c>
      <c r="J808" s="120">
        <v>100</v>
      </c>
      <c r="K808" s="120">
        <v>2</v>
      </c>
      <c r="L808" s="120">
        <v>50</v>
      </c>
      <c r="M808" s="120">
        <v>15</v>
      </c>
      <c r="N808" s="120">
        <v>40</v>
      </c>
      <c r="O808" s="120">
        <v>2</v>
      </c>
      <c r="P808" s="120">
        <v>20</v>
      </c>
      <c r="Q808" s="120">
        <v>495</v>
      </c>
      <c r="R808" s="120">
        <v>388.70001220703102</v>
      </c>
      <c r="S808" s="148">
        <v>16.200000762939499</v>
      </c>
      <c r="T808" s="120">
        <v>65</v>
      </c>
      <c r="U808" s="120">
        <v>20</v>
      </c>
      <c r="V808" s="120">
        <v>-9999</v>
      </c>
      <c r="W808" s="120">
        <v>-9999</v>
      </c>
      <c r="X808" s="120">
        <v>-9999</v>
      </c>
      <c r="Y808" s="120">
        <v>-9999</v>
      </c>
      <c r="Z808" s="120">
        <v>-9999</v>
      </c>
      <c r="AA808" s="120">
        <v>68</v>
      </c>
      <c r="AB808" s="120">
        <v>14.5</v>
      </c>
      <c r="AC808" s="120">
        <v>807</v>
      </c>
      <c r="AD808" s="120">
        <v>2079</v>
      </c>
      <c r="AE808" s="120">
        <v>-9999</v>
      </c>
      <c r="AF808" s="120">
        <v>-9999</v>
      </c>
      <c r="AG808" s="120">
        <v>-9999</v>
      </c>
    </row>
    <row r="809" spans="1:33" x14ac:dyDescent="0.25">
      <c r="A809" s="120">
        <v>808</v>
      </c>
      <c r="B809" s="120" t="b">
        <v>0</v>
      </c>
      <c r="C809" s="120">
        <v>0</v>
      </c>
      <c r="D809" s="61">
        <v>2</v>
      </c>
      <c r="E809" s="120">
        <v>1</v>
      </c>
      <c r="F809" s="120" t="s">
        <v>184</v>
      </c>
      <c r="G809" s="55">
        <v>450</v>
      </c>
      <c r="H809" s="120">
        <v>2405</v>
      </c>
      <c r="I809" s="57">
        <v>100</v>
      </c>
      <c r="J809" s="120">
        <v>100</v>
      </c>
      <c r="K809" s="120">
        <v>3</v>
      </c>
      <c r="L809" s="120">
        <v>40</v>
      </c>
      <c r="M809" s="120">
        <v>15</v>
      </c>
      <c r="N809" s="120">
        <v>40</v>
      </c>
      <c r="O809" s="120">
        <v>2</v>
      </c>
      <c r="P809" s="120">
        <v>16.666999816894499</v>
      </c>
      <c r="Q809" s="120">
        <v>495</v>
      </c>
      <c r="R809" s="120">
        <v>388.70001220703102</v>
      </c>
      <c r="S809" s="148">
        <v>16.200000762939499</v>
      </c>
      <c r="T809" s="120">
        <v>57</v>
      </c>
      <c r="U809" s="120">
        <v>20</v>
      </c>
      <c r="V809" s="120">
        <v>-9999</v>
      </c>
      <c r="W809" s="120">
        <v>-9999</v>
      </c>
      <c r="X809" s="120">
        <v>-9999</v>
      </c>
      <c r="Y809" s="120">
        <v>-9999</v>
      </c>
      <c r="Z809" s="120">
        <v>-9999</v>
      </c>
      <c r="AA809" s="120">
        <v>68</v>
      </c>
      <c r="AB809" s="120">
        <v>14.5</v>
      </c>
      <c r="AC809" s="120">
        <v>808</v>
      </c>
      <c r="AD809" s="120">
        <v>2080</v>
      </c>
      <c r="AE809" s="120">
        <v>-9999</v>
      </c>
      <c r="AF809" s="120">
        <v>-9999</v>
      </c>
      <c r="AG809" s="120">
        <v>-9999</v>
      </c>
    </row>
    <row r="810" spans="1:33" x14ac:dyDescent="0.25">
      <c r="A810" s="120">
        <v>809</v>
      </c>
      <c r="B810" s="120" t="b">
        <v>0</v>
      </c>
      <c r="C810" s="120">
        <v>0</v>
      </c>
      <c r="D810" s="61">
        <v>2</v>
      </c>
      <c r="E810" s="120">
        <v>1</v>
      </c>
      <c r="F810" s="120" t="s">
        <v>184</v>
      </c>
      <c r="G810" s="55">
        <v>450</v>
      </c>
      <c r="H810" s="120">
        <v>2296</v>
      </c>
      <c r="I810" s="57">
        <v>100</v>
      </c>
      <c r="J810" s="120">
        <v>110</v>
      </c>
      <c r="K810" s="120">
        <v>4</v>
      </c>
      <c r="L810" s="120">
        <v>100</v>
      </c>
      <c r="M810" s="120">
        <v>15</v>
      </c>
      <c r="N810" s="120">
        <v>40</v>
      </c>
      <c r="O810" s="120">
        <v>2</v>
      </c>
      <c r="P810" s="120">
        <v>-9999</v>
      </c>
      <c r="Q810" s="120">
        <v>472.5</v>
      </c>
      <c r="R810" s="120">
        <v>371</v>
      </c>
      <c r="S810" s="148">
        <v>16.200000762939499</v>
      </c>
      <c r="T810" s="120">
        <v>-9999</v>
      </c>
      <c r="U810" s="120">
        <v>20</v>
      </c>
      <c r="V810" s="120">
        <v>-9999</v>
      </c>
      <c r="W810" s="120">
        <v>-9999</v>
      </c>
      <c r="X810" s="120">
        <v>-9999</v>
      </c>
      <c r="Y810" s="120">
        <v>-9999</v>
      </c>
      <c r="Z810" s="120">
        <v>-9999</v>
      </c>
      <c r="AA810" s="120">
        <v>68</v>
      </c>
      <c r="AB810" s="120">
        <v>14.5</v>
      </c>
      <c r="AC810" s="120">
        <v>809</v>
      </c>
      <c r="AD810" s="120">
        <v>2081</v>
      </c>
      <c r="AE810" s="120">
        <v>-9999</v>
      </c>
      <c r="AF810" s="120">
        <v>-9999</v>
      </c>
      <c r="AG810" s="120">
        <v>-9999</v>
      </c>
    </row>
    <row r="811" spans="1:33" x14ac:dyDescent="0.25">
      <c r="A811" s="120">
        <v>810</v>
      </c>
      <c r="B811" s="120" t="b">
        <v>0</v>
      </c>
      <c r="C811" s="120">
        <v>0</v>
      </c>
      <c r="D811" s="61">
        <v>2</v>
      </c>
      <c r="E811" s="120">
        <v>1</v>
      </c>
      <c r="F811" s="120" t="s">
        <v>184</v>
      </c>
      <c r="G811" s="55">
        <v>450</v>
      </c>
      <c r="H811" s="120">
        <v>2296</v>
      </c>
      <c r="I811" s="57">
        <v>100</v>
      </c>
      <c r="J811" s="120">
        <v>110</v>
      </c>
      <c r="K811" s="120">
        <v>11</v>
      </c>
      <c r="L811" s="120">
        <v>60</v>
      </c>
      <c r="M811" s="120">
        <v>15</v>
      </c>
      <c r="N811" s="120">
        <v>40</v>
      </c>
      <c r="O811" s="120">
        <v>2</v>
      </c>
      <c r="P811" s="120">
        <v>25</v>
      </c>
      <c r="Q811" s="120">
        <v>472.5</v>
      </c>
      <c r="R811" s="120">
        <v>371</v>
      </c>
      <c r="S811" s="148">
        <v>16.200000762939499</v>
      </c>
      <c r="T811" s="120">
        <v>70</v>
      </c>
      <c r="U811" s="120">
        <v>20</v>
      </c>
      <c r="V811" s="120">
        <v>-9999</v>
      </c>
      <c r="W811" s="120">
        <v>-9999</v>
      </c>
      <c r="X811" s="120">
        <v>-9999</v>
      </c>
      <c r="Y811" s="120">
        <v>-9999</v>
      </c>
      <c r="Z811" s="120">
        <v>-9999</v>
      </c>
      <c r="AA811" s="120">
        <v>68</v>
      </c>
      <c r="AB811" s="120">
        <v>14.5</v>
      </c>
      <c r="AC811" s="120">
        <v>810</v>
      </c>
      <c r="AD811" s="120">
        <v>2082</v>
      </c>
      <c r="AE811" s="120">
        <v>-9999</v>
      </c>
      <c r="AF811" s="120">
        <v>-9999</v>
      </c>
      <c r="AG811" s="120">
        <v>-9999</v>
      </c>
    </row>
    <row r="812" spans="1:33" x14ac:dyDescent="0.25">
      <c r="A812" s="120">
        <v>811</v>
      </c>
      <c r="B812" s="120" t="b">
        <v>0</v>
      </c>
      <c r="C812" s="120">
        <v>0</v>
      </c>
      <c r="D812" s="61">
        <v>2</v>
      </c>
      <c r="E812" s="120">
        <v>1</v>
      </c>
      <c r="F812" s="120" t="s">
        <v>184</v>
      </c>
      <c r="G812" s="55">
        <v>450</v>
      </c>
      <c r="H812" s="120">
        <v>2143</v>
      </c>
      <c r="I812" s="57">
        <v>125</v>
      </c>
      <c r="J812" s="120">
        <v>135</v>
      </c>
      <c r="K812" s="120">
        <v>1</v>
      </c>
      <c r="L812" s="120">
        <v>50</v>
      </c>
      <c r="M812" s="120">
        <v>15</v>
      </c>
      <c r="N812" s="120">
        <v>40</v>
      </c>
      <c r="O812" s="120">
        <v>2</v>
      </c>
      <c r="P812" s="120">
        <v>5</v>
      </c>
      <c r="Q812" s="120">
        <v>472.5</v>
      </c>
      <c r="R812" s="120">
        <v>371</v>
      </c>
      <c r="S812" s="148">
        <v>17.299999237060501</v>
      </c>
      <c r="T812" s="120">
        <v>65</v>
      </c>
      <c r="U812" s="120">
        <v>20</v>
      </c>
      <c r="V812" s="120">
        <v>-9999</v>
      </c>
      <c r="W812" s="120">
        <v>-9999</v>
      </c>
      <c r="X812" s="120">
        <v>-9999</v>
      </c>
      <c r="Y812" s="120">
        <v>-9999</v>
      </c>
      <c r="Z812" s="120">
        <v>-9999</v>
      </c>
      <c r="AA812" s="120">
        <v>68</v>
      </c>
      <c r="AB812" s="120">
        <v>14.5</v>
      </c>
      <c r="AC812" s="120">
        <v>811</v>
      </c>
      <c r="AD812" s="120">
        <v>2083</v>
      </c>
      <c r="AE812" s="120">
        <v>-9999</v>
      </c>
      <c r="AF812" s="120">
        <v>-9999</v>
      </c>
      <c r="AG812" s="120">
        <v>-9999</v>
      </c>
    </row>
    <row r="813" spans="1:33" x14ac:dyDescent="0.25">
      <c r="A813" s="120">
        <v>812</v>
      </c>
      <c r="B813" s="120" t="b">
        <v>0</v>
      </c>
      <c r="C813" s="120">
        <v>0</v>
      </c>
      <c r="D813" s="61">
        <v>2</v>
      </c>
      <c r="E813" s="120">
        <v>1</v>
      </c>
      <c r="F813" s="120" t="s">
        <v>184</v>
      </c>
      <c r="G813" s="55">
        <v>450</v>
      </c>
      <c r="H813" s="120">
        <v>2245</v>
      </c>
      <c r="I813" s="57">
        <v>125</v>
      </c>
      <c r="J813" s="120">
        <v>125</v>
      </c>
      <c r="K813" s="120">
        <v>2</v>
      </c>
      <c r="L813" s="120">
        <v>50</v>
      </c>
      <c r="M813" s="120">
        <v>15</v>
      </c>
      <c r="N813" s="120">
        <v>40</v>
      </c>
      <c r="O813" s="120">
        <v>2</v>
      </c>
      <c r="P813" s="120">
        <v>20</v>
      </c>
      <c r="Q813" s="120">
        <v>495</v>
      </c>
      <c r="R813" s="120">
        <v>388.70001220703102</v>
      </c>
      <c r="S813" s="148">
        <v>17.299999237060501</v>
      </c>
      <c r="T813" s="120">
        <v>65</v>
      </c>
      <c r="U813" s="120">
        <v>20</v>
      </c>
      <c r="V813" s="120">
        <v>-9999</v>
      </c>
      <c r="W813" s="120">
        <v>-9999</v>
      </c>
      <c r="X813" s="120">
        <v>-9999</v>
      </c>
      <c r="Y813" s="120">
        <v>-9999</v>
      </c>
      <c r="Z813" s="120">
        <v>-9999</v>
      </c>
      <c r="AA813" s="120">
        <v>68</v>
      </c>
      <c r="AB813" s="120">
        <v>14.5</v>
      </c>
      <c r="AC813" s="120">
        <v>812</v>
      </c>
      <c r="AD813" s="120">
        <v>2084</v>
      </c>
      <c r="AE813" s="120">
        <v>-9999</v>
      </c>
      <c r="AF813" s="120">
        <v>-9999</v>
      </c>
      <c r="AG813" s="120">
        <v>-9999</v>
      </c>
    </row>
    <row r="814" spans="1:33" x14ac:dyDescent="0.25">
      <c r="A814" s="120">
        <v>813</v>
      </c>
      <c r="B814" s="120" t="b">
        <v>0</v>
      </c>
      <c r="C814" s="120">
        <v>0</v>
      </c>
      <c r="D814" s="61">
        <v>2</v>
      </c>
      <c r="E814" s="120">
        <v>1</v>
      </c>
      <c r="F814" s="120" t="s">
        <v>184</v>
      </c>
      <c r="G814" s="55">
        <v>450</v>
      </c>
      <c r="H814" s="120">
        <v>2245</v>
      </c>
      <c r="I814" s="57">
        <v>125</v>
      </c>
      <c r="J814" s="120">
        <v>125</v>
      </c>
      <c r="K814" s="120">
        <v>3</v>
      </c>
      <c r="L814" s="120">
        <v>40</v>
      </c>
      <c r="M814" s="120">
        <v>15</v>
      </c>
      <c r="N814" s="120">
        <v>40</v>
      </c>
      <c r="O814" s="120">
        <v>2</v>
      </c>
      <c r="P814" s="120">
        <v>16.666999816894499</v>
      </c>
      <c r="Q814" s="120">
        <v>495</v>
      </c>
      <c r="R814" s="120">
        <v>388.70001220703102</v>
      </c>
      <c r="S814" s="148">
        <v>17.299999237060501</v>
      </c>
      <c r="T814" s="120">
        <v>57</v>
      </c>
      <c r="U814" s="120">
        <v>20</v>
      </c>
      <c r="V814" s="120">
        <v>-9999</v>
      </c>
      <c r="W814" s="120">
        <v>-9999</v>
      </c>
      <c r="X814" s="120">
        <v>-9999</v>
      </c>
      <c r="Y814" s="120">
        <v>-9999</v>
      </c>
      <c r="Z814" s="120">
        <v>-9999</v>
      </c>
      <c r="AA814" s="120">
        <v>68</v>
      </c>
      <c r="AB814" s="120">
        <v>14.5</v>
      </c>
      <c r="AC814" s="120">
        <v>813</v>
      </c>
      <c r="AD814" s="120">
        <v>2085</v>
      </c>
      <c r="AE814" s="120">
        <v>-9999</v>
      </c>
      <c r="AF814" s="120">
        <v>-9999</v>
      </c>
      <c r="AG814" s="120">
        <v>-9999</v>
      </c>
    </row>
    <row r="815" spans="1:33" x14ac:dyDescent="0.25">
      <c r="A815" s="120">
        <v>814</v>
      </c>
      <c r="B815" s="120" t="b">
        <v>0</v>
      </c>
      <c r="C815" s="120">
        <v>0</v>
      </c>
      <c r="D815" s="61">
        <v>2</v>
      </c>
      <c r="E815" s="120">
        <v>1</v>
      </c>
      <c r="F815" s="120" t="s">
        <v>184</v>
      </c>
      <c r="G815" s="55">
        <v>450</v>
      </c>
      <c r="H815" s="120">
        <v>2143</v>
      </c>
      <c r="I815" s="57">
        <v>125</v>
      </c>
      <c r="J815" s="120">
        <v>135</v>
      </c>
      <c r="K815" s="120">
        <v>4</v>
      </c>
      <c r="L815" s="120">
        <v>100</v>
      </c>
      <c r="M815" s="120">
        <v>15</v>
      </c>
      <c r="N815" s="120">
        <v>40</v>
      </c>
      <c r="O815" s="120">
        <v>2</v>
      </c>
      <c r="P815" s="120">
        <v>-9999</v>
      </c>
      <c r="Q815" s="120">
        <v>472.5</v>
      </c>
      <c r="R815" s="120">
        <v>371</v>
      </c>
      <c r="S815" s="148">
        <v>17.299999237060501</v>
      </c>
      <c r="T815" s="120">
        <v>-9999</v>
      </c>
      <c r="U815" s="120">
        <v>20</v>
      </c>
      <c r="V815" s="120">
        <v>-9999</v>
      </c>
      <c r="W815" s="120">
        <v>-9999</v>
      </c>
      <c r="X815" s="120">
        <v>-9999</v>
      </c>
      <c r="Y815" s="120">
        <v>-9999</v>
      </c>
      <c r="Z815" s="120">
        <v>-9999</v>
      </c>
      <c r="AA815" s="120">
        <v>68</v>
      </c>
      <c r="AB815" s="120">
        <v>14.5</v>
      </c>
      <c r="AC815" s="120">
        <v>814</v>
      </c>
      <c r="AD815" s="120">
        <v>2086</v>
      </c>
      <c r="AE815" s="120">
        <v>-9999</v>
      </c>
      <c r="AF815" s="120">
        <v>-9999</v>
      </c>
      <c r="AG815" s="120">
        <v>-9999</v>
      </c>
    </row>
    <row r="816" spans="1:33" x14ac:dyDescent="0.25">
      <c r="A816" s="120">
        <v>815</v>
      </c>
      <c r="B816" s="120" t="b">
        <v>0</v>
      </c>
      <c r="C816" s="120">
        <v>0</v>
      </c>
      <c r="D816" s="61">
        <v>2</v>
      </c>
      <c r="E816" s="120">
        <v>1</v>
      </c>
      <c r="F816" s="120" t="s">
        <v>184</v>
      </c>
      <c r="G816" s="55">
        <v>450</v>
      </c>
      <c r="H816" s="120">
        <v>2143</v>
      </c>
      <c r="I816" s="57">
        <v>125</v>
      </c>
      <c r="J816" s="120">
        <v>135</v>
      </c>
      <c r="K816" s="120">
        <v>11</v>
      </c>
      <c r="L816" s="120">
        <v>60</v>
      </c>
      <c r="M816" s="120">
        <v>15</v>
      </c>
      <c r="N816" s="120">
        <v>40</v>
      </c>
      <c r="O816" s="120">
        <v>2</v>
      </c>
      <c r="P816" s="120">
        <v>25</v>
      </c>
      <c r="Q816" s="120">
        <v>472.5</v>
      </c>
      <c r="R816" s="120">
        <v>371</v>
      </c>
      <c r="S816" s="148">
        <v>17.299999237060501</v>
      </c>
      <c r="T816" s="120">
        <v>70</v>
      </c>
      <c r="U816" s="120">
        <v>20</v>
      </c>
      <c r="V816" s="120">
        <v>-9999</v>
      </c>
      <c r="W816" s="120">
        <v>-9999</v>
      </c>
      <c r="X816" s="120">
        <v>-9999</v>
      </c>
      <c r="Y816" s="120">
        <v>-9999</v>
      </c>
      <c r="Z816" s="120">
        <v>-9999</v>
      </c>
      <c r="AA816" s="120">
        <v>68</v>
      </c>
      <c r="AB816" s="120">
        <v>14.5</v>
      </c>
      <c r="AC816" s="120">
        <v>815</v>
      </c>
      <c r="AD816" s="120">
        <v>2087</v>
      </c>
      <c r="AE816" s="120">
        <v>-9999</v>
      </c>
      <c r="AF816" s="120">
        <v>-9999</v>
      </c>
      <c r="AG816" s="120">
        <v>-9999</v>
      </c>
    </row>
    <row r="817" spans="1:33" x14ac:dyDescent="0.25">
      <c r="A817" s="120">
        <v>816</v>
      </c>
      <c r="B817" s="120" t="b">
        <v>0</v>
      </c>
      <c r="C817" s="120">
        <v>0</v>
      </c>
      <c r="D817" s="61">
        <v>2</v>
      </c>
      <c r="E817" s="120">
        <v>1</v>
      </c>
      <c r="F817" s="120" t="s">
        <v>184</v>
      </c>
      <c r="G817" s="55">
        <v>450</v>
      </c>
      <c r="H817" s="120">
        <v>2004</v>
      </c>
      <c r="I817" s="57">
        <v>140</v>
      </c>
      <c r="J817" s="120">
        <v>150</v>
      </c>
      <c r="K817" s="120">
        <v>1</v>
      </c>
      <c r="L817" s="120">
        <v>50</v>
      </c>
      <c r="M817" s="120">
        <v>15</v>
      </c>
      <c r="N817" s="120">
        <v>40</v>
      </c>
      <c r="O817" s="120">
        <v>2</v>
      </c>
      <c r="P817" s="120">
        <v>5</v>
      </c>
      <c r="Q817" s="120">
        <v>472.5</v>
      </c>
      <c r="R817" s="120">
        <v>371</v>
      </c>
      <c r="S817" s="148">
        <v>18.5</v>
      </c>
      <c r="T817" s="120">
        <v>65</v>
      </c>
      <c r="U817" s="120">
        <v>20</v>
      </c>
      <c r="V817" s="120">
        <v>-9999</v>
      </c>
      <c r="W817" s="120">
        <v>-9999</v>
      </c>
      <c r="X817" s="120">
        <v>-9999</v>
      </c>
      <c r="Y817" s="120">
        <v>-9999</v>
      </c>
      <c r="Z817" s="120">
        <v>-9999</v>
      </c>
      <c r="AA817" s="120">
        <v>68</v>
      </c>
      <c r="AB817" s="120">
        <v>14.5</v>
      </c>
      <c r="AC817" s="120">
        <v>816</v>
      </c>
      <c r="AD817" s="120">
        <v>2088</v>
      </c>
      <c r="AE817" s="120">
        <v>-9999</v>
      </c>
      <c r="AF817" s="120">
        <v>-9999</v>
      </c>
      <c r="AG817" s="120">
        <v>-9999</v>
      </c>
    </row>
    <row r="818" spans="1:33" x14ac:dyDescent="0.25">
      <c r="A818" s="120">
        <v>817</v>
      </c>
      <c r="B818" s="120" t="b">
        <v>0</v>
      </c>
      <c r="C818" s="120">
        <v>0</v>
      </c>
      <c r="D818" s="61">
        <v>2</v>
      </c>
      <c r="E818" s="120">
        <v>1</v>
      </c>
      <c r="F818" s="120" t="s">
        <v>184</v>
      </c>
      <c r="G818" s="55">
        <v>450</v>
      </c>
      <c r="H818" s="120">
        <v>2099</v>
      </c>
      <c r="I818" s="57">
        <v>140</v>
      </c>
      <c r="J818" s="120">
        <v>140</v>
      </c>
      <c r="K818" s="120">
        <v>2</v>
      </c>
      <c r="L818" s="120">
        <v>50</v>
      </c>
      <c r="M818" s="120">
        <v>15</v>
      </c>
      <c r="N818" s="120">
        <v>40</v>
      </c>
      <c r="O818" s="120">
        <v>2</v>
      </c>
      <c r="P818" s="120">
        <v>20</v>
      </c>
      <c r="Q818" s="120">
        <v>495</v>
      </c>
      <c r="R818" s="120">
        <v>388.70001220703102</v>
      </c>
      <c r="S818" s="148">
        <v>18.5</v>
      </c>
      <c r="T818" s="120">
        <v>65</v>
      </c>
      <c r="U818" s="120">
        <v>20</v>
      </c>
      <c r="V818" s="120">
        <v>-9999</v>
      </c>
      <c r="W818" s="120">
        <v>-9999</v>
      </c>
      <c r="X818" s="120">
        <v>-9999</v>
      </c>
      <c r="Y818" s="120">
        <v>-9999</v>
      </c>
      <c r="Z818" s="120">
        <v>-9999</v>
      </c>
      <c r="AA818" s="120">
        <v>68</v>
      </c>
      <c r="AB818" s="120">
        <v>14.5</v>
      </c>
      <c r="AC818" s="120">
        <v>817</v>
      </c>
      <c r="AD818" s="120">
        <v>2089</v>
      </c>
      <c r="AE818" s="120">
        <v>-9999</v>
      </c>
      <c r="AF818" s="120">
        <v>-9999</v>
      </c>
      <c r="AG818" s="120">
        <v>-9999</v>
      </c>
    </row>
    <row r="819" spans="1:33" x14ac:dyDescent="0.25">
      <c r="A819" s="120">
        <v>818</v>
      </c>
      <c r="B819" s="120" t="b">
        <v>0</v>
      </c>
      <c r="C819" s="120">
        <v>0</v>
      </c>
      <c r="D819" s="61">
        <v>2</v>
      </c>
      <c r="E819" s="120">
        <v>1</v>
      </c>
      <c r="F819" s="120" t="s">
        <v>184</v>
      </c>
      <c r="G819" s="55">
        <v>450</v>
      </c>
      <c r="H819" s="120">
        <v>2099</v>
      </c>
      <c r="I819" s="57">
        <v>140</v>
      </c>
      <c r="J819" s="120">
        <v>140</v>
      </c>
      <c r="K819" s="120">
        <v>3</v>
      </c>
      <c r="L819" s="120">
        <v>40</v>
      </c>
      <c r="M819" s="120">
        <v>15</v>
      </c>
      <c r="N819" s="120">
        <v>40</v>
      </c>
      <c r="O819" s="120">
        <v>2</v>
      </c>
      <c r="P819" s="120">
        <v>16.666999816894499</v>
      </c>
      <c r="Q819" s="120">
        <v>495</v>
      </c>
      <c r="R819" s="120">
        <v>388.70001220703102</v>
      </c>
      <c r="S819" s="148">
        <v>18.5</v>
      </c>
      <c r="T819" s="120">
        <v>57</v>
      </c>
      <c r="U819" s="120">
        <v>20</v>
      </c>
      <c r="V819" s="120">
        <v>-9999</v>
      </c>
      <c r="W819" s="120">
        <v>-9999</v>
      </c>
      <c r="X819" s="120">
        <v>-9999</v>
      </c>
      <c r="Y819" s="120">
        <v>-9999</v>
      </c>
      <c r="Z819" s="120">
        <v>-9999</v>
      </c>
      <c r="AA819" s="120">
        <v>68</v>
      </c>
      <c r="AB819" s="120">
        <v>14.5</v>
      </c>
      <c r="AC819" s="120">
        <v>818</v>
      </c>
      <c r="AD819" s="120">
        <v>2090</v>
      </c>
      <c r="AE819" s="120">
        <v>-9999</v>
      </c>
      <c r="AF819" s="120">
        <v>-9999</v>
      </c>
      <c r="AG819" s="120">
        <v>-9999</v>
      </c>
    </row>
    <row r="820" spans="1:33" x14ac:dyDescent="0.25">
      <c r="A820" s="120">
        <v>819</v>
      </c>
      <c r="B820" s="120" t="b">
        <v>0</v>
      </c>
      <c r="C820" s="120">
        <v>0</v>
      </c>
      <c r="D820" s="61">
        <v>2</v>
      </c>
      <c r="E820" s="120">
        <v>1</v>
      </c>
      <c r="F820" s="120" t="s">
        <v>184</v>
      </c>
      <c r="G820" s="55">
        <v>450</v>
      </c>
      <c r="H820" s="120">
        <v>2004</v>
      </c>
      <c r="I820" s="57">
        <v>140</v>
      </c>
      <c r="J820" s="120">
        <v>150</v>
      </c>
      <c r="K820" s="120">
        <v>4</v>
      </c>
      <c r="L820" s="120">
        <v>100</v>
      </c>
      <c r="M820" s="120">
        <v>15</v>
      </c>
      <c r="N820" s="120">
        <v>40</v>
      </c>
      <c r="O820" s="120">
        <v>2</v>
      </c>
      <c r="P820" s="120">
        <v>-9999</v>
      </c>
      <c r="Q820" s="120">
        <v>472.5</v>
      </c>
      <c r="R820" s="120">
        <v>371</v>
      </c>
      <c r="S820" s="148">
        <v>18.5</v>
      </c>
      <c r="T820" s="120">
        <v>-9999</v>
      </c>
      <c r="U820" s="120">
        <v>20</v>
      </c>
      <c r="V820" s="120">
        <v>-9999</v>
      </c>
      <c r="W820" s="120">
        <v>-9999</v>
      </c>
      <c r="X820" s="120">
        <v>-9999</v>
      </c>
      <c r="Y820" s="120">
        <v>-9999</v>
      </c>
      <c r="Z820" s="120">
        <v>-9999</v>
      </c>
      <c r="AA820" s="120">
        <v>68</v>
      </c>
      <c r="AB820" s="120">
        <v>14.5</v>
      </c>
      <c r="AC820" s="120">
        <v>819</v>
      </c>
      <c r="AD820" s="120">
        <v>2091</v>
      </c>
      <c r="AE820" s="120">
        <v>-9999</v>
      </c>
      <c r="AF820" s="120">
        <v>-9999</v>
      </c>
      <c r="AG820" s="120">
        <v>-9999</v>
      </c>
    </row>
    <row r="821" spans="1:33" x14ac:dyDescent="0.25">
      <c r="A821" s="120">
        <v>820</v>
      </c>
      <c r="B821" s="120" t="b">
        <v>0</v>
      </c>
      <c r="C821" s="120">
        <v>0</v>
      </c>
      <c r="D821" s="61">
        <v>2</v>
      </c>
      <c r="E821" s="120">
        <v>1</v>
      </c>
      <c r="F821" s="120" t="s">
        <v>184</v>
      </c>
      <c r="G821" s="55">
        <v>450</v>
      </c>
      <c r="H821" s="120">
        <v>2004</v>
      </c>
      <c r="I821" s="57">
        <v>140</v>
      </c>
      <c r="J821" s="120">
        <v>150</v>
      </c>
      <c r="K821" s="120">
        <v>11</v>
      </c>
      <c r="L821" s="120">
        <v>60</v>
      </c>
      <c r="M821" s="120">
        <v>15</v>
      </c>
      <c r="N821" s="120">
        <v>40</v>
      </c>
      <c r="O821" s="120">
        <v>2</v>
      </c>
      <c r="P821" s="120">
        <v>25</v>
      </c>
      <c r="Q821" s="120">
        <v>472.5</v>
      </c>
      <c r="R821" s="120">
        <v>371</v>
      </c>
      <c r="S821" s="148">
        <v>18.5</v>
      </c>
      <c r="T821" s="120">
        <v>70</v>
      </c>
      <c r="U821" s="120">
        <v>20</v>
      </c>
      <c r="V821" s="120">
        <v>-9999</v>
      </c>
      <c r="W821" s="120">
        <v>-9999</v>
      </c>
      <c r="X821" s="120">
        <v>-9999</v>
      </c>
      <c r="Y821" s="120">
        <v>-9999</v>
      </c>
      <c r="Z821" s="120">
        <v>-9999</v>
      </c>
      <c r="AA821" s="120">
        <v>68</v>
      </c>
      <c r="AB821" s="120">
        <v>14.5</v>
      </c>
      <c r="AC821" s="120">
        <v>820</v>
      </c>
      <c r="AD821" s="120">
        <v>2092</v>
      </c>
      <c r="AE821" s="120">
        <v>-9999</v>
      </c>
      <c r="AF821" s="120">
        <v>-9999</v>
      </c>
      <c r="AG821" s="120">
        <v>-9999</v>
      </c>
    </row>
    <row r="822" spans="1:33" x14ac:dyDescent="0.25">
      <c r="A822" s="120">
        <v>821</v>
      </c>
      <c r="B822" s="120" t="b">
        <v>0</v>
      </c>
      <c r="C822" s="120">
        <v>0</v>
      </c>
      <c r="D822" s="61">
        <v>2</v>
      </c>
      <c r="E822" s="120">
        <v>1</v>
      </c>
      <c r="F822" s="120" t="s">
        <v>184</v>
      </c>
      <c r="G822" s="55">
        <v>450</v>
      </c>
      <c r="H822" s="120">
        <v>1660</v>
      </c>
      <c r="I822" s="57">
        <v>200</v>
      </c>
      <c r="J822" s="120">
        <v>210</v>
      </c>
      <c r="K822" s="120">
        <v>1</v>
      </c>
      <c r="L822" s="120">
        <v>50</v>
      </c>
      <c r="M822" s="120">
        <v>15</v>
      </c>
      <c r="N822" s="120">
        <v>40</v>
      </c>
      <c r="O822" s="120">
        <v>2</v>
      </c>
      <c r="P822" s="120">
        <v>5</v>
      </c>
      <c r="Q822" s="120">
        <v>472.5</v>
      </c>
      <c r="R822" s="120">
        <v>371</v>
      </c>
      <c r="S822" s="148">
        <v>22.399999618530298</v>
      </c>
      <c r="T822" s="120">
        <v>65</v>
      </c>
      <c r="U822" s="120">
        <v>20</v>
      </c>
      <c r="V822" s="120">
        <v>-9999</v>
      </c>
      <c r="W822" s="120">
        <v>-9999</v>
      </c>
      <c r="X822" s="120">
        <v>-9999</v>
      </c>
      <c r="Y822" s="120">
        <v>-9999</v>
      </c>
      <c r="Z822" s="120">
        <v>-9999</v>
      </c>
      <c r="AA822" s="120">
        <v>68</v>
      </c>
      <c r="AB822" s="120">
        <v>14.5</v>
      </c>
      <c r="AC822" s="120">
        <v>821</v>
      </c>
      <c r="AD822" s="120">
        <v>2093</v>
      </c>
      <c r="AE822" s="120">
        <v>-9999</v>
      </c>
      <c r="AF822" s="120">
        <v>-9999</v>
      </c>
      <c r="AG822" s="120">
        <v>-9999</v>
      </c>
    </row>
    <row r="823" spans="1:33" x14ac:dyDescent="0.25">
      <c r="A823" s="120">
        <v>822</v>
      </c>
      <c r="B823" s="120" t="b">
        <v>0</v>
      </c>
      <c r="C823" s="120">
        <v>0</v>
      </c>
      <c r="D823" s="61">
        <v>2</v>
      </c>
      <c r="E823" s="120">
        <v>1</v>
      </c>
      <c r="F823" s="120" t="s">
        <v>184</v>
      </c>
      <c r="G823" s="55">
        <v>450</v>
      </c>
      <c r="H823" s="120">
        <v>1739</v>
      </c>
      <c r="I823" s="57">
        <v>200</v>
      </c>
      <c r="J823" s="120">
        <v>200</v>
      </c>
      <c r="K823" s="120">
        <v>2</v>
      </c>
      <c r="L823" s="120">
        <v>50</v>
      </c>
      <c r="M823" s="120">
        <v>15</v>
      </c>
      <c r="N823" s="120">
        <v>40</v>
      </c>
      <c r="O823" s="120">
        <v>2</v>
      </c>
      <c r="P823" s="120">
        <v>20</v>
      </c>
      <c r="Q823" s="120">
        <v>495</v>
      </c>
      <c r="R823" s="120">
        <v>388.70001220703102</v>
      </c>
      <c r="S823" s="148">
        <v>22.399999618530298</v>
      </c>
      <c r="T823" s="120">
        <v>65</v>
      </c>
      <c r="U823" s="120">
        <v>20</v>
      </c>
      <c r="V823" s="120">
        <v>-9999</v>
      </c>
      <c r="W823" s="120">
        <v>-9999</v>
      </c>
      <c r="X823" s="120">
        <v>-9999</v>
      </c>
      <c r="Y823" s="120">
        <v>-9999</v>
      </c>
      <c r="Z823" s="120">
        <v>-9999</v>
      </c>
      <c r="AA823" s="120">
        <v>68</v>
      </c>
      <c r="AB823" s="120">
        <v>14.5</v>
      </c>
      <c r="AC823" s="120">
        <v>822</v>
      </c>
      <c r="AD823" s="120">
        <v>2094</v>
      </c>
      <c r="AE823" s="120">
        <v>-9999</v>
      </c>
      <c r="AF823" s="120">
        <v>-9999</v>
      </c>
      <c r="AG823" s="120">
        <v>-9999</v>
      </c>
    </row>
    <row r="824" spans="1:33" x14ac:dyDescent="0.25">
      <c r="A824" s="120">
        <v>823</v>
      </c>
      <c r="B824" s="120" t="b">
        <v>0</v>
      </c>
      <c r="C824" s="120">
        <v>0</v>
      </c>
      <c r="D824" s="61">
        <v>2</v>
      </c>
      <c r="E824" s="120">
        <v>1</v>
      </c>
      <c r="F824" s="120" t="s">
        <v>184</v>
      </c>
      <c r="G824" s="55">
        <v>450</v>
      </c>
      <c r="H824" s="120">
        <v>1739</v>
      </c>
      <c r="I824" s="57">
        <v>200</v>
      </c>
      <c r="J824" s="120">
        <v>200</v>
      </c>
      <c r="K824" s="120">
        <v>3</v>
      </c>
      <c r="L824" s="120">
        <v>40</v>
      </c>
      <c r="M824" s="120">
        <v>15</v>
      </c>
      <c r="N824" s="120">
        <v>40</v>
      </c>
      <c r="O824" s="120">
        <v>2</v>
      </c>
      <c r="P824" s="120">
        <v>16.666999816894499</v>
      </c>
      <c r="Q824" s="120">
        <v>495</v>
      </c>
      <c r="R824" s="120">
        <v>388.70001220703102</v>
      </c>
      <c r="S824" s="148">
        <v>22.399999618530298</v>
      </c>
      <c r="T824" s="120">
        <v>57</v>
      </c>
      <c r="U824" s="120">
        <v>20</v>
      </c>
      <c r="V824" s="120">
        <v>-9999</v>
      </c>
      <c r="W824" s="120">
        <v>-9999</v>
      </c>
      <c r="X824" s="120">
        <v>-9999</v>
      </c>
      <c r="Y824" s="120">
        <v>-9999</v>
      </c>
      <c r="Z824" s="120">
        <v>-9999</v>
      </c>
      <c r="AA824" s="120">
        <v>68</v>
      </c>
      <c r="AB824" s="120">
        <v>14.5</v>
      </c>
      <c r="AC824" s="120">
        <v>823</v>
      </c>
      <c r="AD824" s="120">
        <v>2095</v>
      </c>
      <c r="AE824" s="120">
        <v>-9999</v>
      </c>
      <c r="AF824" s="120">
        <v>-9999</v>
      </c>
      <c r="AG824" s="120">
        <v>-9999</v>
      </c>
    </row>
    <row r="825" spans="1:33" x14ac:dyDescent="0.25">
      <c r="A825" s="120">
        <v>824</v>
      </c>
      <c r="B825" s="120" t="b">
        <v>0</v>
      </c>
      <c r="C825" s="120">
        <v>0</v>
      </c>
      <c r="D825" s="61">
        <v>2</v>
      </c>
      <c r="E825" s="120">
        <v>1</v>
      </c>
      <c r="F825" s="120" t="s">
        <v>184</v>
      </c>
      <c r="G825" s="55">
        <v>450</v>
      </c>
      <c r="H825" s="120">
        <v>1660</v>
      </c>
      <c r="I825" s="57">
        <v>200</v>
      </c>
      <c r="J825" s="120">
        <v>210</v>
      </c>
      <c r="K825" s="120">
        <v>4</v>
      </c>
      <c r="L825" s="120">
        <v>100</v>
      </c>
      <c r="M825" s="120">
        <v>15</v>
      </c>
      <c r="N825" s="120">
        <v>40</v>
      </c>
      <c r="O825" s="120">
        <v>2</v>
      </c>
      <c r="P825" s="120">
        <v>-9999</v>
      </c>
      <c r="Q825" s="120">
        <v>472.5</v>
      </c>
      <c r="R825" s="120">
        <v>371</v>
      </c>
      <c r="S825" s="148">
        <v>22.399999618530298</v>
      </c>
      <c r="T825" s="120">
        <v>-9999</v>
      </c>
      <c r="U825" s="120">
        <v>20</v>
      </c>
      <c r="V825" s="120">
        <v>-9999</v>
      </c>
      <c r="W825" s="120">
        <v>-9999</v>
      </c>
      <c r="X825" s="120">
        <v>-9999</v>
      </c>
      <c r="Y825" s="120">
        <v>-9999</v>
      </c>
      <c r="Z825" s="120">
        <v>-9999</v>
      </c>
      <c r="AA825" s="120">
        <v>68</v>
      </c>
      <c r="AB825" s="120">
        <v>14.5</v>
      </c>
      <c r="AC825" s="120">
        <v>824</v>
      </c>
      <c r="AD825" s="120">
        <v>2096</v>
      </c>
      <c r="AE825" s="120">
        <v>-9999</v>
      </c>
      <c r="AF825" s="120">
        <v>-9999</v>
      </c>
      <c r="AG825" s="120">
        <v>-9999</v>
      </c>
    </row>
    <row r="826" spans="1:33" x14ac:dyDescent="0.25">
      <c r="A826" s="120">
        <v>825</v>
      </c>
      <c r="B826" s="120" t="b">
        <v>0</v>
      </c>
      <c r="C826" s="120">
        <v>0</v>
      </c>
      <c r="D826" s="61">
        <v>2</v>
      </c>
      <c r="E826" s="120">
        <v>1</v>
      </c>
      <c r="F826" s="120" t="s">
        <v>184</v>
      </c>
      <c r="G826" s="55">
        <v>450</v>
      </c>
      <c r="H826" s="120">
        <v>1660</v>
      </c>
      <c r="I826" s="57">
        <v>200</v>
      </c>
      <c r="J826" s="120">
        <v>210</v>
      </c>
      <c r="K826" s="120">
        <v>11</v>
      </c>
      <c r="L826" s="120">
        <v>60</v>
      </c>
      <c r="M826" s="120">
        <v>15</v>
      </c>
      <c r="N826" s="120">
        <v>40</v>
      </c>
      <c r="O826" s="120">
        <v>2</v>
      </c>
      <c r="P826" s="120">
        <v>25</v>
      </c>
      <c r="Q826" s="120">
        <v>472.5</v>
      </c>
      <c r="R826" s="120">
        <v>371</v>
      </c>
      <c r="S826" s="148">
        <v>22.399999618530298</v>
      </c>
      <c r="T826" s="120">
        <v>70</v>
      </c>
      <c r="U826" s="120">
        <v>20</v>
      </c>
      <c r="V826" s="120">
        <v>-9999</v>
      </c>
      <c r="W826" s="120">
        <v>-9999</v>
      </c>
      <c r="X826" s="120">
        <v>-9999</v>
      </c>
      <c r="Y826" s="120">
        <v>-9999</v>
      </c>
      <c r="Z826" s="120">
        <v>-9999</v>
      </c>
      <c r="AA826" s="120">
        <v>68</v>
      </c>
      <c r="AB826" s="120">
        <v>14.5</v>
      </c>
      <c r="AC826" s="120">
        <v>825</v>
      </c>
      <c r="AD826" s="120">
        <v>2097</v>
      </c>
      <c r="AE826" s="120">
        <v>-9999</v>
      </c>
      <c r="AF826" s="120">
        <v>-9999</v>
      </c>
      <c r="AG826" s="120">
        <v>-9999</v>
      </c>
    </row>
    <row r="827" spans="1:33" x14ac:dyDescent="0.25">
      <c r="A827" s="120">
        <v>826</v>
      </c>
      <c r="B827" s="120" t="b">
        <v>0</v>
      </c>
      <c r="C827" s="120">
        <v>0</v>
      </c>
      <c r="D827" s="61">
        <v>2</v>
      </c>
      <c r="E827" s="120">
        <v>1</v>
      </c>
      <c r="F827" s="120" t="s">
        <v>185</v>
      </c>
      <c r="G827" s="55">
        <v>500</v>
      </c>
      <c r="H827" s="120">
        <v>2554</v>
      </c>
      <c r="I827" s="57">
        <v>100</v>
      </c>
      <c r="J827" s="120">
        <v>110</v>
      </c>
      <c r="K827" s="120">
        <v>1</v>
      </c>
      <c r="L827" s="120">
        <v>50</v>
      </c>
      <c r="M827" s="120">
        <v>15</v>
      </c>
      <c r="N827" s="120">
        <v>40</v>
      </c>
      <c r="O827" s="120">
        <v>2</v>
      </c>
      <c r="P827" s="120">
        <v>5</v>
      </c>
      <c r="Q827" s="120">
        <v>525</v>
      </c>
      <c r="R827" s="120">
        <v>414.39999389648398</v>
      </c>
      <c r="S827" s="148">
        <v>16.200000762939499</v>
      </c>
      <c r="T827" s="120">
        <v>65</v>
      </c>
      <c r="U827" s="120">
        <v>20</v>
      </c>
      <c r="V827" s="120">
        <v>-9999</v>
      </c>
      <c r="W827" s="120">
        <v>-9999</v>
      </c>
      <c r="X827" s="120">
        <v>-9999</v>
      </c>
      <c r="Y827" s="120">
        <v>-9999</v>
      </c>
      <c r="Z827" s="120">
        <v>-9999</v>
      </c>
      <c r="AA827" s="120">
        <v>68</v>
      </c>
      <c r="AB827" s="120">
        <v>14.5</v>
      </c>
      <c r="AC827" s="120">
        <v>826</v>
      </c>
      <c r="AD827" s="120">
        <v>2098</v>
      </c>
      <c r="AE827" s="120">
        <v>-9999</v>
      </c>
      <c r="AF827" s="120">
        <v>-9999</v>
      </c>
      <c r="AG827" s="120">
        <v>-9999</v>
      </c>
    </row>
    <row r="828" spans="1:33" x14ac:dyDescent="0.25">
      <c r="A828" s="120">
        <v>827</v>
      </c>
      <c r="B828" s="120" t="b">
        <v>0</v>
      </c>
      <c r="C828" s="120">
        <v>0</v>
      </c>
      <c r="D828" s="61">
        <v>2</v>
      </c>
      <c r="E828" s="120">
        <v>1</v>
      </c>
      <c r="F828" s="120" t="s">
        <v>185</v>
      </c>
      <c r="G828" s="55">
        <v>500</v>
      </c>
      <c r="H828" s="120">
        <v>2675</v>
      </c>
      <c r="I828" s="57">
        <v>100</v>
      </c>
      <c r="J828" s="120">
        <v>100</v>
      </c>
      <c r="K828" s="120">
        <v>2</v>
      </c>
      <c r="L828" s="120">
        <v>50</v>
      </c>
      <c r="M828" s="120">
        <v>15</v>
      </c>
      <c r="N828" s="120">
        <v>40</v>
      </c>
      <c r="O828" s="120">
        <v>2</v>
      </c>
      <c r="P828" s="120">
        <v>20</v>
      </c>
      <c r="Q828" s="120">
        <v>550</v>
      </c>
      <c r="R828" s="120">
        <v>434.20001220703102</v>
      </c>
      <c r="S828" s="148">
        <v>16.200000762939499</v>
      </c>
      <c r="T828" s="120">
        <v>65</v>
      </c>
      <c r="U828" s="120">
        <v>20</v>
      </c>
      <c r="V828" s="120">
        <v>-9999</v>
      </c>
      <c r="W828" s="120">
        <v>-9999</v>
      </c>
      <c r="X828" s="120">
        <v>-9999</v>
      </c>
      <c r="Y828" s="120">
        <v>-9999</v>
      </c>
      <c r="Z828" s="120">
        <v>-9999</v>
      </c>
      <c r="AA828" s="120">
        <v>68</v>
      </c>
      <c r="AB828" s="120">
        <v>14.5</v>
      </c>
      <c r="AC828" s="120">
        <v>827</v>
      </c>
      <c r="AD828" s="120">
        <v>2099</v>
      </c>
      <c r="AE828" s="120">
        <v>-9999</v>
      </c>
      <c r="AF828" s="120">
        <v>-9999</v>
      </c>
      <c r="AG828" s="120">
        <v>-9999</v>
      </c>
    </row>
    <row r="829" spans="1:33" x14ac:dyDescent="0.25">
      <c r="A829" s="120">
        <v>828</v>
      </c>
      <c r="B829" s="120" t="b">
        <v>0</v>
      </c>
      <c r="C829" s="120">
        <v>0</v>
      </c>
      <c r="D829" s="61">
        <v>2</v>
      </c>
      <c r="E829" s="120">
        <v>1</v>
      </c>
      <c r="F829" s="120" t="s">
        <v>185</v>
      </c>
      <c r="G829" s="55">
        <v>500</v>
      </c>
      <c r="H829" s="120">
        <v>2675</v>
      </c>
      <c r="I829" s="57">
        <v>100</v>
      </c>
      <c r="J829" s="120">
        <v>100</v>
      </c>
      <c r="K829" s="120">
        <v>3</v>
      </c>
      <c r="L829" s="120">
        <v>40</v>
      </c>
      <c r="M829" s="120">
        <v>15</v>
      </c>
      <c r="N829" s="120">
        <v>40</v>
      </c>
      <c r="O829" s="120">
        <v>2</v>
      </c>
      <c r="P829" s="120">
        <v>16.666999816894499</v>
      </c>
      <c r="Q829" s="120">
        <v>550</v>
      </c>
      <c r="R829" s="120">
        <v>434.20001220703102</v>
      </c>
      <c r="S829" s="148">
        <v>16.200000762939499</v>
      </c>
      <c r="T829" s="120">
        <v>57</v>
      </c>
      <c r="U829" s="120">
        <v>20</v>
      </c>
      <c r="V829" s="120">
        <v>-9999</v>
      </c>
      <c r="W829" s="120">
        <v>-9999</v>
      </c>
      <c r="X829" s="120">
        <v>-9999</v>
      </c>
      <c r="Y829" s="120">
        <v>-9999</v>
      </c>
      <c r="Z829" s="120">
        <v>-9999</v>
      </c>
      <c r="AA829" s="120">
        <v>68</v>
      </c>
      <c r="AB829" s="120">
        <v>14.5</v>
      </c>
      <c r="AC829" s="120">
        <v>828</v>
      </c>
      <c r="AD829" s="120">
        <v>2100</v>
      </c>
      <c r="AE829" s="120">
        <v>-9999</v>
      </c>
      <c r="AF829" s="120">
        <v>-9999</v>
      </c>
      <c r="AG829" s="120">
        <v>-9999</v>
      </c>
    </row>
    <row r="830" spans="1:33" x14ac:dyDescent="0.25">
      <c r="A830" s="120">
        <v>829</v>
      </c>
      <c r="B830" s="120" t="b">
        <v>0</v>
      </c>
      <c r="C830" s="120">
        <v>0</v>
      </c>
      <c r="D830" s="61">
        <v>2</v>
      </c>
      <c r="E830" s="120">
        <v>1</v>
      </c>
      <c r="F830" s="120" t="s">
        <v>185</v>
      </c>
      <c r="G830" s="55">
        <v>500</v>
      </c>
      <c r="H830" s="120">
        <v>2554</v>
      </c>
      <c r="I830" s="57">
        <v>100</v>
      </c>
      <c r="J830" s="120">
        <v>110</v>
      </c>
      <c r="K830" s="120">
        <v>4</v>
      </c>
      <c r="L830" s="120">
        <v>100</v>
      </c>
      <c r="M830" s="120">
        <v>15</v>
      </c>
      <c r="N830" s="120">
        <v>40</v>
      </c>
      <c r="O830" s="120">
        <v>2</v>
      </c>
      <c r="P830" s="120">
        <v>-9999</v>
      </c>
      <c r="Q830" s="120">
        <v>525</v>
      </c>
      <c r="R830" s="120">
        <v>414.39999389648398</v>
      </c>
      <c r="S830" s="148">
        <v>16.200000762939499</v>
      </c>
      <c r="T830" s="120">
        <v>-9999</v>
      </c>
      <c r="U830" s="120">
        <v>20</v>
      </c>
      <c r="V830" s="120">
        <v>-9999</v>
      </c>
      <c r="W830" s="120">
        <v>-9999</v>
      </c>
      <c r="X830" s="120">
        <v>-9999</v>
      </c>
      <c r="Y830" s="120">
        <v>-9999</v>
      </c>
      <c r="Z830" s="120">
        <v>-9999</v>
      </c>
      <c r="AA830" s="120">
        <v>68</v>
      </c>
      <c r="AB830" s="120">
        <v>14.5</v>
      </c>
      <c r="AC830" s="120">
        <v>829</v>
      </c>
      <c r="AD830" s="120">
        <v>2101</v>
      </c>
      <c r="AE830" s="120">
        <v>-9999</v>
      </c>
      <c r="AF830" s="120">
        <v>-9999</v>
      </c>
      <c r="AG830" s="120">
        <v>-9999</v>
      </c>
    </row>
    <row r="831" spans="1:33" x14ac:dyDescent="0.25">
      <c r="A831" s="120">
        <v>830</v>
      </c>
      <c r="B831" s="120" t="b">
        <v>0</v>
      </c>
      <c r="C831" s="120">
        <v>0</v>
      </c>
      <c r="D831" s="61">
        <v>2</v>
      </c>
      <c r="E831" s="120">
        <v>1</v>
      </c>
      <c r="F831" s="120" t="s">
        <v>185</v>
      </c>
      <c r="G831" s="55">
        <v>500</v>
      </c>
      <c r="H831" s="120">
        <v>2554</v>
      </c>
      <c r="I831" s="57">
        <v>100</v>
      </c>
      <c r="J831" s="120">
        <v>110</v>
      </c>
      <c r="K831" s="120">
        <v>11</v>
      </c>
      <c r="L831" s="120">
        <v>60</v>
      </c>
      <c r="M831" s="120">
        <v>15</v>
      </c>
      <c r="N831" s="120">
        <v>40</v>
      </c>
      <c r="O831" s="120">
        <v>2</v>
      </c>
      <c r="P831" s="120">
        <v>25</v>
      </c>
      <c r="Q831" s="120">
        <v>525</v>
      </c>
      <c r="R831" s="120">
        <v>414.39999389648398</v>
      </c>
      <c r="S831" s="148">
        <v>16.200000762939499</v>
      </c>
      <c r="T831" s="120">
        <v>70</v>
      </c>
      <c r="U831" s="120">
        <v>20</v>
      </c>
      <c r="V831" s="120">
        <v>-9999</v>
      </c>
      <c r="W831" s="120">
        <v>-9999</v>
      </c>
      <c r="X831" s="120">
        <v>-9999</v>
      </c>
      <c r="Y831" s="120">
        <v>-9999</v>
      </c>
      <c r="Z831" s="120">
        <v>-9999</v>
      </c>
      <c r="AA831" s="120">
        <v>68</v>
      </c>
      <c r="AB831" s="120">
        <v>14.5</v>
      </c>
      <c r="AC831" s="120">
        <v>830</v>
      </c>
      <c r="AD831" s="120">
        <v>2102</v>
      </c>
      <c r="AE831" s="120">
        <v>-9999</v>
      </c>
      <c r="AF831" s="120">
        <v>-9999</v>
      </c>
      <c r="AG831" s="120">
        <v>-9999</v>
      </c>
    </row>
    <row r="832" spans="1:33" x14ac:dyDescent="0.25">
      <c r="A832" s="120">
        <v>831</v>
      </c>
      <c r="B832" s="120" t="b">
        <v>0</v>
      </c>
      <c r="C832" s="120">
        <v>0</v>
      </c>
      <c r="D832" s="61">
        <v>2</v>
      </c>
      <c r="E832" s="120">
        <v>1</v>
      </c>
      <c r="F832" s="120" t="s">
        <v>185</v>
      </c>
      <c r="G832" s="55">
        <v>500</v>
      </c>
      <c r="H832" s="120">
        <v>2315</v>
      </c>
      <c r="I832" s="57">
        <v>125</v>
      </c>
      <c r="J832" s="120">
        <v>135</v>
      </c>
      <c r="K832" s="120">
        <v>1</v>
      </c>
      <c r="L832" s="120">
        <v>50</v>
      </c>
      <c r="M832" s="120">
        <v>15</v>
      </c>
      <c r="N832" s="120">
        <v>40</v>
      </c>
      <c r="O832" s="120">
        <v>2</v>
      </c>
      <c r="P832" s="120">
        <v>5</v>
      </c>
      <c r="Q832" s="120">
        <v>525</v>
      </c>
      <c r="R832" s="120">
        <v>414.39999389648398</v>
      </c>
      <c r="S832" s="148">
        <v>17.899999618530298</v>
      </c>
      <c r="T832" s="120">
        <v>65</v>
      </c>
      <c r="U832" s="120">
        <v>20</v>
      </c>
      <c r="V832" s="120">
        <v>-9999</v>
      </c>
      <c r="W832" s="120">
        <v>-9999</v>
      </c>
      <c r="X832" s="120">
        <v>-9999</v>
      </c>
      <c r="Y832" s="120">
        <v>-9999</v>
      </c>
      <c r="Z832" s="120">
        <v>-9999</v>
      </c>
      <c r="AA832" s="120">
        <v>68</v>
      </c>
      <c r="AB832" s="120">
        <v>14.5</v>
      </c>
      <c r="AC832" s="120">
        <v>831</v>
      </c>
      <c r="AD832" s="120">
        <v>2103</v>
      </c>
      <c r="AE832" s="120">
        <v>-9999</v>
      </c>
      <c r="AF832" s="120">
        <v>-9999</v>
      </c>
      <c r="AG832" s="120">
        <v>-9999</v>
      </c>
    </row>
    <row r="833" spans="1:33" x14ac:dyDescent="0.25">
      <c r="A833" s="120">
        <v>832</v>
      </c>
      <c r="B833" s="120" t="b">
        <v>0</v>
      </c>
      <c r="C833" s="120">
        <v>0</v>
      </c>
      <c r="D833" s="61">
        <v>2</v>
      </c>
      <c r="E833" s="120">
        <v>1</v>
      </c>
      <c r="F833" s="120" t="s">
        <v>185</v>
      </c>
      <c r="G833" s="55">
        <v>500</v>
      </c>
      <c r="H833" s="120">
        <v>2425</v>
      </c>
      <c r="I833" s="57">
        <v>125</v>
      </c>
      <c r="J833" s="120">
        <v>125</v>
      </c>
      <c r="K833" s="120">
        <v>2</v>
      </c>
      <c r="L833" s="120">
        <v>50</v>
      </c>
      <c r="M833" s="120">
        <v>15</v>
      </c>
      <c r="N833" s="120">
        <v>40</v>
      </c>
      <c r="O833" s="120">
        <v>2</v>
      </c>
      <c r="P833" s="120">
        <v>20</v>
      </c>
      <c r="Q833" s="120">
        <v>550</v>
      </c>
      <c r="R833" s="120">
        <v>434.20001220703102</v>
      </c>
      <c r="S833" s="148">
        <v>17.899999618530298</v>
      </c>
      <c r="T833" s="120">
        <v>65</v>
      </c>
      <c r="U833" s="120">
        <v>20</v>
      </c>
      <c r="V833" s="120">
        <v>-9999</v>
      </c>
      <c r="W833" s="120">
        <v>-9999</v>
      </c>
      <c r="X833" s="120">
        <v>-9999</v>
      </c>
      <c r="Y833" s="120">
        <v>-9999</v>
      </c>
      <c r="Z833" s="120">
        <v>-9999</v>
      </c>
      <c r="AA833" s="120">
        <v>68</v>
      </c>
      <c r="AB833" s="120">
        <v>14.5</v>
      </c>
      <c r="AC833" s="120">
        <v>832</v>
      </c>
      <c r="AD833" s="120">
        <v>2104</v>
      </c>
      <c r="AE833" s="120">
        <v>-9999</v>
      </c>
      <c r="AF833" s="120">
        <v>-9999</v>
      </c>
      <c r="AG833" s="120">
        <v>-9999</v>
      </c>
    </row>
    <row r="834" spans="1:33" x14ac:dyDescent="0.25">
      <c r="A834" s="120">
        <v>833</v>
      </c>
      <c r="B834" s="120" t="b">
        <v>0</v>
      </c>
      <c r="C834" s="120">
        <v>0</v>
      </c>
      <c r="D834" s="61">
        <v>2</v>
      </c>
      <c r="E834" s="120">
        <v>1</v>
      </c>
      <c r="F834" s="120" t="s">
        <v>185</v>
      </c>
      <c r="G834" s="55">
        <v>500</v>
      </c>
      <c r="H834" s="120">
        <v>2425</v>
      </c>
      <c r="I834" s="57">
        <v>125</v>
      </c>
      <c r="J834" s="120">
        <v>125</v>
      </c>
      <c r="K834" s="120">
        <v>3</v>
      </c>
      <c r="L834" s="120">
        <v>40</v>
      </c>
      <c r="M834" s="120">
        <v>15</v>
      </c>
      <c r="N834" s="120">
        <v>40</v>
      </c>
      <c r="O834" s="120">
        <v>2</v>
      </c>
      <c r="P834" s="120">
        <v>16.666999816894499</v>
      </c>
      <c r="Q834" s="120">
        <v>550</v>
      </c>
      <c r="R834" s="120">
        <v>434.20001220703102</v>
      </c>
      <c r="S834" s="148">
        <v>17.899999618530298</v>
      </c>
      <c r="T834" s="120">
        <v>57</v>
      </c>
      <c r="U834" s="120">
        <v>20</v>
      </c>
      <c r="V834" s="120">
        <v>-9999</v>
      </c>
      <c r="W834" s="120">
        <v>-9999</v>
      </c>
      <c r="X834" s="120">
        <v>-9999</v>
      </c>
      <c r="Y834" s="120">
        <v>-9999</v>
      </c>
      <c r="Z834" s="120">
        <v>-9999</v>
      </c>
      <c r="AA834" s="120">
        <v>68</v>
      </c>
      <c r="AB834" s="120">
        <v>14.5</v>
      </c>
      <c r="AC834" s="120">
        <v>833</v>
      </c>
      <c r="AD834" s="120">
        <v>2105</v>
      </c>
      <c r="AE834" s="120">
        <v>-9999</v>
      </c>
      <c r="AF834" s="120">
        <v>-9999</v>
      </c>
      <c r="AG834" s="120">
        <v>-9999</v>
      </c>
    </row>
    <row r="835" spans="1:33" x14ac:dyDescent="0.25">
      <c r="A835" s="120">
        <v>834</v>
      </c>
      <c r="B835" s="120" t="b">
        <v>0</v>
      </c>
      <c r="C835" s="120">
        <v>0</v>
      </c>
      <c r="D835" s="61">
        <v>2</v>
      </c>
      <c r="E835" s="120">
        <v>1</v>
      </c>
      <c r="F835" s="120" t="s">
        <v>185</v>
      </c>
      <c r="G835" s="55">
        <v>500</v>
      </c>
      <c r="H835" s="120">
        <v>2315</v>
      </c>
      <c r="I835" s="57">
        <v>125</v>
      </c>
      <c r="J835" s="120">
        <v>135</v>
      </c>
      <c r="K835" s="120">
        <v>4</v>
      </c>
      <c r="L835" s="120">
        <v>100</v>
      </c>
      <c r="M835" s="120">
        <v>15</v>
      </c>
      <c r="N835" s="120">
        <v>40</v>
      </c>
      <c r="O835" s="120">
        <v>2</v>
      </c>
      <c r="P835" s="120">
        <v>-9999</v>
      </c>
      <c r="Q835" s="120">
        <v>525</v>
      </c>
      <c r="R835" s="120">
        <v>414.39999389648398</v>
      </c>
      <c r="S835" s="148">
        <v>17.899999618530298</v>
      </c>
      <c r="T835" s="120">
        <v>-9999</v>
      </c>
      <c r="U835" s="120">
        <v>20</v>
      </c>
      <c r="V835" s="120">
        <v>-9999</v>
      </c>
      <c r="W835" s="120">
        <v>-9999</v>
      </c>
      <c r="X835" s="120">
        <v>-9999</v>
      </c>
      <c r="Y835" s="120">
        <v>-9999</v>
      </c>
      <c r="Z835" s="120">
        <v>-9999</v>
      </c>
      <c r="AA835" s="120">
        <v>68</v>
      </c>
      <c r="AB835" s="120">
        <v>14.5</v>
      </c>
      <c r="AC835" s="120">
        <v>834</v>
      </c>
      <c r="AD835" s="120">
        <v>2106</v>
      </c>
      <c r="AE835" s="120">
        <v>-9999</v>
      </c>
      <c r="AF835" s="120">
        <v>-9999</v>
      </c>
      <c r="AG835" s="120">
        <v>-9999</v>
      </c>
    </row>
    <row r="836" spans="1:33" x14ac:dyDescent="0.25">
      <c r="A836" s="120">
        <v>835</v>
      </c>
      <c r="B836" s="120" t="b">
        <v>0</v>
      </c>
      <c r="C836" s="120">
        <v>0</v>
      </c>
      <c r="D836" s="61">
        <v>2</v>
      </c>
      <c r="E836" s="120">
        <v>1</v>
      </c>
      <c r="F836" s="120" t="s">
        <v>185</v>
      </c>
      <c r="G836" s="55">
        <v>500</v>
      </c>
      <c r="H836" s="120">
        <v>2315</v>
      </c>
      <c r="I836" s="57">
        <v>125</v>
      </c>
      <c r="J836" s="120">
        <v>135</v>
      </c>
      <c r="K836" s="120">
        <v>11</v>
      </c>
      <c r="L836" s="120">
        <v>60</v>
      </c>
      <c r="M836" s="120">
        <v>15</v>
      </c>
      <c r="N836" s="120">
        <v>40</v>
      </c>
      <c r="O836" s="120">
        <v>2</v>
      </c>
      <c r="P836" s="120">
        <v>25</v>
      </c>
      <c r="Q836" s="120">
        <v>525</v>
      </c>
      <c r="R836" s="120">
        <v>414.39999389648398</v>
      </c>
      <c r="S836" s="148">
        <v>17.899999618530298</v>
      </c>
      <c r="T836" s="120">
        <v>70</v>
      </c>
      <c r="U836" s="120">
        <v>20</v>
      </c>
      <c r="V836" s="120">
        <v>-9999</v>
      </c>
      <c r="W836" s="120">
        <v>-9999</v>
      </c>
      <c r="X836" s="120">
        <v>-9999</v>
      </c>
      <c r="Y836" s="120">
        <v>-9999</v>
      </c>
      <c r="Z836" s="120">
        <v>-9999</v>
      </c>
      <c r="AA836" s="120">
        <v>68</v>
      </c>
      <c r="AB836" s="120">
        <v>14.5</v>
      </c>
      <c r="AC836" s="120">
        <v>835</v>
      </c>
      <c r="AD836" s="120">
        <v>2107</v>
      </c>
      <c r="AE836" s="120">
        <v>-9999</v>
      </c>
      <c r="AF836" s="120">
        <v>-9999</v>
      </c>
      <c r="AG836" s="120">
        <v>-9999</v>
      </c>
    </row>
    <row r="837" spans="1:33" x14ac:dyDescent="0.25">
      <c r="A837" s="120">
        <v>836</v>
      </c>
      <c r="B837" s="120" t="b">
        <v>0</v>
      </c>
      <c r="C837" s="120">
        <v>0</v>
      </c>
      <c r="D837" s="61">
        <v>2</v>
      </c>
      <c r="E837" s="120">
        <v>1</v>
      </c>
      <c r="F837" s="120" t="s">
        <v>185</v>
      </c>
      <c r="G837" s="55">
        <v>500</v>
      </c>
      <c r="H837" s="120">
        <v>2162</v>
      </c>
      <c r="I837" s="57">
        <v>140</v>
      </c>
      <c r="J837" s="120">
        <v>150</v>
      </c>
      <c r="K837" s="120">
        <v>1</v>
      </c>
      <c r="L837" s="120">
        <v>50</v>
      </c>
      <c r="M837" s="120">
        <v>15</v>
      </c>
      <c r="N837" s="120">
        <v>40</v>
      </c>
      <c r="O837" s="120">
        <v>2</v>
      </c>
      <c r="P837" s="120">
        <v>5</v>
      </c>
      <c r="Q837" s="120">
        <v>525</v>
      </c>
      <c r="R837" s="120">
        <v>414.39999389648398</v>
      </c>
      <c r="S837" s="148">
        <v>19.200000762939499</v>
      </c>
      <c r="T837" s="120">
        <v>65</v>
      </c>
      <c r="U837" s="120">
        <v>20</v>
      </c>
      <c r="V837" s="120">
        <v>-9999</v>
      </c>
      <c r="W837" s="120">
        <v>-9999</v>
      </c>
      <c r="X837" s="120">
        <v>-9999</v>
      </c>
      <c r="Y837" s="120">
        <v>-9999</v>
      </c>
      <c r="Z837" s="120">
        <v>-9999</v>
      </c>
      <c r="AA837" s="120">
        <v>68</v>
      </c>
      <c r="AB837" s="120">
        <v>14.5</v>
      </c>
      <c r="AC837" s="120">
        <v>836</v>
      </c>
      <c r="AD837" s="120">
        <v>2108</v>
      </c>
      <c r="AE837" s="120">
        <v>-9999</v>
      </c>
      <c r="AF837" s="120">
        <v>-9999</v>
      </c>
      <c r="AG837" s="120">
        <v>-9999</v>
      </c>
    </row>
    <row r="838" spans="1:33" x14ac:dyDescent="0.25">
      <c r="A838" s="120">
        <v>837</v>
      </c>
      <c r="B838" s="120" t="b">
        <v>0</v>
      </c>
      <c r="C838" s="120">
        <v>0</v>
      </c>
      <c r="D838" s="61">
        <v>2</v>
      </c>
      <c r="E838" s="120">
        <v>1</v>
      </c>
      <c r="F838" s="120" t="s">
        <v>185</v>
      </c>
      <c r="G838" s="55">
        <v>500</v>
      </c>
      <c r="H838" s="120">
        <v>2265</v>
      </c>
      <c r="I838" s="57">
        <v>140</v>
      </c>
      <c r="J838" s="120">
        <v>140</v>
      </c>
      <c r="K838" s="120">
        <v>2</v>
      </c>
      <c r="L838" s="120">
        <v>50</v>
      </c>
      <c r="M838" s="120">
        <v>15</v>
      </c>
      <c r="N838" s="120">
        <v>40</v>
      </c>
      <c r="O838" s="120">
        <v>2</v>
      </c>
      <c r="P838" s="120">
        <v>20</v>
      </c>
      <c r="Q838" s="120">
        <v>550</v>
      </c>
      <c r="R838" s="120">
        <v>434.20001220703102</v>
      </c>
      <c r="S838" s="148">
        <v>19.200000762939499</v>
      </c>
      <c r="T838" s="120">
        <v>65</v>
      </c>
      <c r="U838" s="120">
        <v>20</v>
      </c>
      <c r="V838" s="120">
        <v>-9999</v>
      </c>
      <c r="W838" s="120">
        <v>-9999</v>
      </c>
      <c r="X838" s="120">
        <v>-9999</v>
      </c>
      <c r="Y838" s="120">
        <v>-9999</v>
      </c>
      <c r="Z838" s="120">
        <v>-9999</v>
      </c>
      <c r="AA838" s="120">
        <v>68</v>
      </c>
      <c r="AB838" s="120">
        <v>14.5</v>
      </c>
      <c r="AC838" s="120">
        <v>837</v>
      </c>
      <c r="AD838" s="120">
        <v>2109</v>
      </c>
      <c r="AE838" s="120">
        <v>-9999</v>
      </c>
      <c r="AF838" s="120">
        <v>-9999</v>
      </c>
      <c r="AG838" s="120">
        <v>-9999</v>
      </c>
    </row>
    <row r="839" spans="1:33" x14ac:dyDescent="0.25">
      <c r="A839" s="120">
        <v>838</v>
      </c>
      <c r="B839" s="120" t="b">
        <v>0</v>
      </c>
      <c r="C839" s="120">
        <v>0</v>
      </c>
      <c r="D839" s="61">
        <v>2</v>
      </c>
      <c r="E839" s="120">
        <v>1</v>
      </c>
      <c r="F839" s="120" t="s">
        <v>185</v>
      </c>
      <c r="G839" s="55">
        <v>500</v>
      </c>
      <c r="H839" s="120">
        <v>2265</v>
      </c>
      <c r="I839" s="57">
        <v>140</v>
      </c>
      <c r="J839" s="120">
        <v>140</v>
      </c>
      <c r="K839" s="120">
        <v>3</v>
      </c>
      <c r="L839" s="120">
        <v>40</v>
      </c>
      <c r="M839" s="120">
        <v>15</v>
      </c>
      <c r="N839" s="120">
        <v>40</v>
      </c>
      <c r="O839" s="120">
        <v>2</v>
      </c>
      <c r="P839" s="120">
        <v>16.666999816894499</v>
      </c>
      <c r="Q839" s="120">
        <v>550</v>
      </c>
      <c r="R839" s="120">
        <v>434.20001220703102</v>
      </c>
      <c r="S839" s="148">
        <v>19.200000762939499</v>
      </c>
      <c r="T839" s="120">
        <v>57</v>
      </c>
      <c r="U839" s="120">
        <v>20</v>
      </c>
      <c r="V839" s="120">
        <v>-9999</v>
      </c>
      <c r="W839" s="120">
        <v>-9999</v>
      </c>
      <c r="X839" s="120">
        <v>-9999</v>
      </c>
      <c r="Y839" s="120">
        <v>-9999</v>
      </c>
      <c r="Z839" s="120">
        <v>-9999</v>
      </c>
      <c r="AA839" s="120">
        <v>68</v>
      </c>
      <c r="AB839" s="120">
        <v>14.5</v>
      </c>
      <c r="AC839" s="120">
        <v>838</v>
      </c>
      <c r="AD839" s="120">
        <v>2110</v>
      </c>
      <c r="AE839" s="120">
        <v>-9999</v>
      </c>
      <c r="AF839" s="120">
        <v>-9999</v>
      </c>
      <c r="AG839" s="120">
        <v>-9999</v>
      </c>
    </row>
    <row r="840" spans="1:33" x14ac:dyDescent="0.25">
      <c r="A840" s="120">
        <v>839</v>
      </c>
      <c r="B840" s="120" t="b">
        <v>0</v>
      </c>
      <c r="C840" s="120">
        <v>0</v>
      </c>
      <c r="D840" s="61">
        <v>2</v>
      </c>
      <c r="E840" s="120">
        <v>1</v>
      </c>
      <c r="F840" s="120" t="s">
        <v>185</v>
      </c>
      <c r="G840" s="55">
        <v>500</v>
      </c>
      <c r="H840" s="120">
        <v>2162</v>
      </c>
      <c r="I840" s="57">
        <v>140</v>
      </c>
      <c r="J840" s="120">
        <v>150</v>
      </c>
      <c r="K840" s="120">
        <v>4</v>
      </c>
      <c r="L840" s="120">
        <v>100</v>
      </c>
      <c r="M840" s="120">
        <v>15</v>
      </c>
      <c r="N840" s="120">
        <v>40</v>
      </c>
      <c r="O840" s="120">
        <v>2</v>
      </c>
      <c r="P840" s="120">
        <v>-9999</v>
      </c>
      <c r="Q840" s="120">
        <v>525</v>
      </c>
      <c r="R840" s="120">
        <v>414.39999389648398</v>
      </c>
      <c r="S840" s="148">
        <v>19.200000762939499</v>
      </c>
      <c r="T840" s="120">
        <v>-9999</v>
      </c>
      <c r="U840" s="120">
        <v>20</v>
      </c>
      <c r="V840" s="120">
        <v>-9999</v>
      </c>
      <c r="W840" s="120">
        <v>-9999</v>
      </c>
      <c r="X840" s="120">
        <v>-9999</v>
      </c>
      <c r="Y840" s="120">
        <v>-9999</v>
      </c>
      <c r="Z840" s="120">
        <v>-9999</v>
      </c>
      <c r="AA840" s="120">
        <v>68</v>
      </c>
      <c r="AB840" s="120">
        <v>14.5</v>
      </c>
      <c r="AC840" s="120">
        <v>839</v>
      </c>
      <c r="AD840" s="120">
        <v>2111</v>
      </c>
      <c r="AE840" s="120">
        <v>-9999</v>
      </c>
      <c r="AF840" s="120">
        <v>-9999</v>
      </c>
      <c r="AG840" s="120">
        <v>-9999</v>
      </c>
    </row>
    <row r="841" spans="1:33" x14ac:dyDescent="0.25">
      <c r="A841" s="120">
        <v>840</v>
      </c>
      <c r="B841" s="120" t="b">
        <v>0</v>
      </c>
      <c r="C841" s="120">
        <v>0</v>
      </c>
      <c r="D841" s="61">
        <v>2</v>
      </c>
      <c r="E841" s="120">
        <v>1</v>
      </c>
      <c r="F841" s="120" t="s">
        <v>185</v>
      </c>
      <c r="G841" s="55">
        <v>500</v>
      </c>
      <c r="H841" s="120">
        <v>2162</v>
      </c>
      <c r="I841" s="57">
        <v>140</v>
      </c>
      <c r="J841" s="120">
        <v>150</v>
      </c>
      <c r="K841" s="120">
        <v>11</v>
      </c>
      <c r="L841" s="120">
        <v>60</v>
      </c>
      <c r="M841" s="120">
        <v>15</v>
      </c>
      <c r="N841" s="120">
        <v>40</v>
      </c>
      <c r="O841" s="120">
        <v>2</v>
      </c>
      <c r="P841" s="120">
        <v>25</v>
      </c>
      <c r="Q841" s="120">
        <v>525</v>
      </c>
      <c r="R841" s="120">
        <v>414.39999389648398</v>
      </c>
      <c r="S841" s="148">
        <v>19.200000762939499</v>
      </c>
      <c r="T841" s="120">
        <v>70</v>
      </c>
      <c r="U841" s="120">
        <v>20</v>
      </c>
      <c r="V841" s="120">
        <v>-9999</v>
      </c>
      <c r="W841" s="120">
        <v>-9999</v>
      </c>
      <c r="X841" s="120">
        <v>-9999</v>
      </c>
      <c r="Y841" s="120">
        <v>-9999</v>
      </c>
      <c r="Z841" s="120">
        <v>-9999</v>
      </c>
      <c r="AA841" s="120">
        <v>68</v>
      </c>
      <c r="AB841" s="120">
        <v>14.5</v>
      </c>
      <c r="AC841" s="120">
        <v>840</v>
      </c>
      <c r="AD841" s="120">
        <v>2112</v>
      </c>
      <c r="AE841" s="120">
        <v>-9999</v>
      </c>
      <c r="AF841" s="120">
        <v>-9999</v>
      </c>
      <c r="AG841" s="120">
        <v>-9999</v>
      </c>
    </row>
    <row r="842" spans="1:33" x14ac:dyDescent="0.25">
      <c r="A842" s="120">
        <v>841</v>
      </c>
      <c r="B842" s="120" t="b">
        <v>0</v>
      </c>
      <c r="C842" s="120">
        <v>0</v>
      </c>
      <c r="D842" s="61">
        <v>2</v>
      </c>
      <c r="E842" s="120">
        <v>1</v>
      </c>
      <c r="F842" s="120" t="s">
        <v>185</v>
      </c>
      <c r="G842" s="55">
        <v>500</v>
      </c>
      <c r="H842" s="120">
        <v>1788</v>
      </c>
      <c r="I842" s="57">
        <v>200</v>
      </c>
      <c r="J842" s="120">
        <v>210</v>
      </c>
      <c r="K842" s="120">
        <v>1</v>
      </c>
      <c r="L842" s="120">
        <v>50</v>
      </c>
      <c r="M842" s="120">
        <v>15</v>
      </c>
      <c r="N842" s="120">
        <v>40</v>
      </c>
      <c r="O842" s="120">
        <v>2</v>
      </c>
      <c r="P842" s="120">
        <v>5</v>
      </c>
      <c r="Q842" s="120">
        <v>525</v>
      </c>
      <c r="R842" s="120">
        <v>414.39999389648398</v>
      </c>
      <c r="S842" s="148">
        <v>23.200000762939499</v>
      </c>
      <c r="T842" s="120">
        <v>65</v>
      </c>
      <c r="U842" s="120">
        <v>20</v>
      </c>
      <c r="V842" s="120">
        <v>-9999</v>
      </c>
      <c r="W842" s="120">
        <v>-9999</v>
      </c>
      <c r="X842" s="120">
        <v>-9999</v>
      </c>
      <c r="Y842" s="120">
        <v>-9999</v>
      </c>
      <c r="Z842" s="120">
        <v>-9999</v>
      </c>
      <c r="AA842" s="120">
        <v>68</v>
      </c>
      <c r="AB842" s="120">
        <v>14.5</v>
      </c>
      <c r="AC842" s="120">
        <v>841</v>
      </c>
      <c r="AD842" s="120">
        <v>2113</v>
      </c>
      <c r="AE842" s="120">
        <v>-9999</v>
      </c>
      <c r="AF842" s="120">
        <v>-9999</v>
      </c>
      <c r="AG842" s="120">
        <v>-9999</v>
      </c>
    </row>
    <row r="843" spans="1:33" x14ac:dyDescent="0.25">
      <c r="A843" s="120">
        <v>842</v>
      </c>
      <c r="B843" s="120" t="b">
        <v>0</v>
      </c>
      <c r="C843" s="120">
        <v>0</v>
      </c>
      <c r="D843" s="61">
        <v>2</v>
      </c>
      <c r="E843" s="120">
        <v>1</v>
      </c>
      <c r="F843" s="120" t="s">
        <v>185</v>
      </c>
      <c r="G843" s="55">
        <v>500</v>
      </c>
      <c r="H843" s="120">
        <v>1873</v>
      </c>
      <c r="I843" s="57">
        <v>200</v>
      </c>
      <c r="J843" s="120">
        <v>200</v>
      </c>
      <c r="K843" s="120">
        <v>2</v>
      </c>
      <c r="L843" s="120">
        <v>50</v>
      </c>
      <c r="M843" s="120">
        <v>15</v>
      </c>
      <c r="N843" s="120">
        <v>40</v>
      </c>
      <c r="O843" s="120">
        <v>2</v>
      </c>
      <c r="P843" s="120">
        <v>20</v>
      </c>
      <c r="Q843" s="120">
        <v>550</v>
      </c>
      <c r="R843" s="120">
        <v>434.20001220703102</v>
      </c>
      <c r="S843" s="148">
        <v>23.200000762939499</v>
      </c>
      <c r="T843" s="120">
        <v>65</v>
      </c>
      <c r="U843" s="120">
        <v>20</v>
      </c>
      <c r="V843" s="120">
        <v>-9999</v>
      </c>
      <c r="W843" s="120">
        <v>-9999</v>
      </c>
      <c r="X843" s="120">
        <v>-9999</v>
      </c>
      <c r="Y843" s="120">
        <v>-9999</v>
      </c>
      <c r="Z843" s="120">
        <v>-9999</v>
      </c>
      <c r="AA843" s="120">
        <v>68</v>
      </c>
      <c r="AB843" s="120">
        <v>14.5</v>
      </c>
      <c r="AC843" s="120">
        <v>842</v>
      </c>
      <c r="AD843" s="120">
        <v>2114</v>
      </c>
      <c r="AE843" s="120">
        <v>-9999</v>
      </c>
      <c r="AF843" s="120">
        <v>-9999</v>
      </c>
      <c r="AG843" s="120">
        <v>-9999</v>
      </c>
    </row>
    <row r="844" spans="1:33" x14ac:dyDescent="0.25">
      <c r="A844" s="120">
        <v>843</v>
      </c>
      <c r="B844" s="120" t="b">
        <v>0</v>
      </c>
      <c r="C844" s="120">
        <v>0</v>
      </c>
      <c r="D844" s="61">
        <v>2</v>
      </c>
      <c r="E844" s="120">
        <v>1</v>
      </c>
      <c r="F844" s="120" t="s">
        <v>185</v>
      </c>
      <c r="G844" s="55">
        <v>500</v>
      </c>
      <c r="H844" s="120">
        <v>1873</v>
      </c>
      <c r="I844" s="57">
        <v>200</v>
      </c>
      <c r="J844" s="120">
        <v>200</v>
      </c>
      <c r="K844" s="120">
        <v>3</v>
      </c>
      <c r="L844" s="120">
        <v>40</v>
      </c>
      <c r="M844" s="120">
        <v>15</v>
      </c>
      <c r="N844" s="120">
        <v>40</v>
      </c>
      <c r="O844" s="120">
        <v>2</v>
      </c>
      <c r="P844" s="120">
        <v>16.666999816894499</v>
      </c>
      <c r="Q844" s="120">
        <v>550</v>
      </c>
      <c r="R844" s="120">
        <v>434.20001220703102</v>
      </c>
      <c r="S844" s="148">
        <v>23.200000762939499</v>
      </c>
      <c r="T844" s="120">
        <v>57</v>
      </c>
      <c r="U844" s="120">
        <v>20</v>
      </c>
      <c r="V844" s="120">
        <v>-9999</v>
      </c>
      <c r="W844" s="120">
        <v>-9999</v>
      </c>
      <c r="X844" s="120">
        <v>-9999</v>
      </c>
      <c r="Y844" s="120">
        <v>-9999</v>
      </c>
      <c r="Z844" s="120">
        <v>-9999</v>
      </c>
      <c r="AA844" s="120">
        <v>68</v>
      </c>
      <c r="AB844" s="120">
        <v>14.5</v>
      </c>
      <c r="AC844" s="120">
        <v>843</v>
      </c>
      <c r="AD844" s="120">
        <v>2115</v>
      </c>
      <c r="AE844" s="120">
        <v>-9999</v>
      </c>
      <c r="AF844" s="120">
        <v>-9999</v>
      </c>
      <c r="AG844" s="120">
        <v>-9999</v>
      </c>
    </row>
    <row r="845" spans="1:33" x14ac:dyDescent="0.25">
      <c r="A845" s="120">
        <v>844</v>
      </c>
      <c r="B845" s="120" t="b">
        <v>0</v>
      </c>
      <c r="C845" s="120">
        <v>0</v>
      </c>
      <c r="D845" s="61">
        <v>2</v>
      </c>
      <c r="E845" s="120">
        <v>1</v>
      </c>
      <c r="F845" s="120" t="s">
        <v>185</v>
      </c>
      <c r="G845" s="55">
        <v>500</v>
      </c>
      <c r="H845" s="120">
        <v>1788</v>
      </c>
      <c r="I845" s="57">
        <v>200</v>
      </c>
      <c r="J845" s="120">
        <v>210</v>
      </c>
      <c r="K845" s="120">
        <v>4</v>
      </c>
      <c r="L845" s="120">
        <v>100</v>
      </c>
      <c r="M845" s="120">
        <v>15</v>
      </c>
      <c r="N845" s="120">
        <v>40</v>
      </c>
      <c r="O845" s="120">
        <v>2</v>
      </c>
      <c r="P845" s="120">
        <v>-9999</v>
      </c>
      <c r="Q845" s="120">
        <v>525</v>
      </c>
      <c r="R845" s="120">
        <v>414.39999389648398</v>
      </c>
      <c r="S845" s="148">
        <v>23.200000762939499</v>
      </c>
      <c r="T845" s="120">
        <v>-9999</v>
      </c>
      <c r="U845" s="120">
        <v>20</v>
      </c>
      <c r="V845" s="120">
        <v>-9999</v>
      </c>
      <c r="W845" s="120">
        <v>-9999</v>
      </c>
      <c r="X845" s="120">
        <v>-9999</v>
      </c>
      <c r="Y845" s="120">
        <v>-9999</v>
      </c>
      <c r="Z845" s="120">
        <v>-9999</v>
      </c>
      <c r="AA845" s="120">
        <v>68</v>
      </c>
      <c r="AB845" s="120">
        <v>14.5</v>
      </c>
      <c r="AC845" s="120">
        <v>844</v>
      </c>
      <c r="AD845" s="120">
        <v>2116</v>
      </c>
      <c r="AE845" s="120">
        <v>-9999</v>
      </c>
      <c r="AF845" s="120">
        <v>-9999</v>
      </c>
      <c r="AG845" s="120">
        <v>-9999</v>
      </c>
    </row>
    <row r="846" spans="1:33" x14ac:dyDescent="0.25">
      <c r="A846" s="120">
        <v>845</v>
      </c>
      <c r="B846" s="120" t="b">
        <v>0</v>
      </c>
      <c r="C846" s="120">
        <v>0</v>
      </c>
      <c r="D846" s="61">
        <v>2</v>
      </c>
      <c r="E846" s="120">
        <v>1</v>
      </c>
      <c r="F846" s="120" t="s">
        <v>185</v>
      </c>
      <c r="G846" s="55">
        <v>500</v>
      </c>
      <c r="H846" s="120">
        <v>1788</v>
      </c>
      <c r="I846" s="57">
        <v>200</v>
      </c>
      <c r="J846" s="120">
        <v>210</v>
      </c>
      <c r="K846" s="120">
        <v>11</v>
      </c>
      <c r="L846" s="120">
        <v>60</v>
      </c>
      <c r="M846" s="120">
        <v>15</v>
      </c>
      <c r="N846" s="120">
        <v>40</v>
      </c>
      <c r="O846" s="120">
        <v>2</v>
      </c>
      <c r="P846" s="120">
        <v>25</v>
      </c>
      <c r="Q846" s="120">
        <v>525</v>
      </c>
      <c r="R846" s="120">
        <v>414.39999389648398</v>
      </c>
      <c r="S846" s="148">
        <v>23.200000762939499</v>
      </c>
      <c r="T846" s="120">
        <v>70</v>
      </c>
      <c r="U846" s="120">
        <v>20</v>
      </c>
      <c r="V846" s="120">
        <v>-9999</v>
      </c>
      <c r="W846" s="120">
        <v>-9999</v>
      </c>
      <c r="X846" s="120">
        <v>-9999</v>
      </c>
      <c r="Y846" s="120">
        <v>-9999</v>
      </c>
      <c r="Z846" s="120">
        <v>-9999</v>
      </c>
      <c r="AA846" s="120">
        <v>68</v>
      </c>
      <c r="AB846" s="120">
        <v>14.5</v>
      </c>
      <c r="AC846" s="120">
        <v>845</v>
      </c>
      <c r="AD846" s="120">
        <v>2117</v>
      </c>
      <c r="AE846" s="120">
        <v>-9999</v>
      </c>
      <c r="AF846" s="120">
        <v>-9999</v>
      </c>
      <c r="AG846" s="120">
        <v>-9999</v>
      </c>
    </row>
    <row r="847" spans="1:33" x14ac:dyDescent="0.25">
      <c r="A847" s="120">
        <v>846</v>
      </c>
      <c r="B847" s="120" t="b">
        <v>0</v>
      </c>
      <c r="C847" s="120">
        <v>0</v>
      </c>
      <c r="D847" s="61">
        <v>2</v>
      </c>
      <c r="E847" s="120">
        <v>1</v>
      </c>
      <c r="F847" s="120" t="s">
        <v>186</v>
      </c>
      <c r="G847" s="55">
        <v>600</v>
      </c>
      <c r="H847" s="120">
        <v>3095</v>
      </c>
      <c r="I847" s="57">
        <v>100</v>
      </c>
      <c r="J847" s="120">
        <v>110</v>
      </c>
      <c r="K847" s="120">
        <v>1</v>
      </c>
      <c r="L847" s="120">
        <v>50</v>
      </c>
      <c r="M847" s="120">
        <v>15</v>
      </c>
      <c r="N847" s="120">
        <v>40</v>
      </c>
      <c r="O847" s="120">
        <v>2</v>
      </c>
      <c r="P847" s="120">
        <v>5</v>
      </c>
      <c r="Q847" s="120">
        <v>630</v>
      </c>
      <c r="R847" s="120">
        <v>497.29998779296898</v>
      </c>
      <c r="S847" s="148">
        <v>16.100000381469702</v>
      </c>
      <c r="T847" s="120">
        <v>65</v>
      </c>
      <c r="U847" s="120">
        <v>20</v>
      </c>
      <c r="V847" s="120">
        <v>-9999</v>
      </c>
      <c r="W847" s="120">
        <v>-9999</v>
      </c>
      <c r="X847" s="120">
        <v>-9999</v>
      </c>
      <c r="Y847" s="120">
        <v>-9999</v>
      </c>
      <c r="Z847" s="120">
        <v>-9999</v>
      </c>
      <c r="AA847" s="120">
        <v>68</v>
      </c>
      <c r="AB847" s="120">
        <v>14.5</v>
      </c>
      <c r="AC847" s="120">
        <v>846</v>
      </c>
      <c r="AD847" s="120">
        <v>2118</v>
      </c>
      <c r="AE847" s="120">
        <v>-9999</v>
      </c>
      <c r="AF847" s="120">
        <v>-9999</v>
      </c>
      <c r="AG847" s="120">
        <v>-9999</v>
      </c>
    </row>
    <row r="848" spans="1:33" x14ac:dyDescent="0.25">
      <c r="A848" s="120">
        <v>847</v>
      </c>
      <c r="B848" s="120" t="b">
        <v>0</v>
      </c>
      <c r="C848" s="120">
        <v>0</v>
      </c>
      <c r="D848" s="61">
        <v>2</v>
      </c>
      <c r="E848" s="120">
        <v>1</v>
      </c>
      <c r="F848" s="120" t="s">
        <v>186</v>
      </c>
      <c r="G848" s="55">
        <v>600</v>
      </c>
      <c r="H848" s="120">
        <v>3242</v>
      </c>
      <c r="I848" s="57">
        <v>100</v>
      </c>
      <c r="J848" s="120">
        <v>100</v>
      </c>
      <c r="K848" s="120">
        <v>2</v>
      </c>
      <c r="L848" s="120">
        <v>50</v>
      </c>
      <c r="M848" s="120">
        <v>15</v>
      </c>
      <c r="N848" s="120">
        <v>40</v>
      </c>
      <c r="O848" s="120">
        <v>2</v>
      </c>
      <c r="P848" s="120">
        <v>20</v>
      </c>
      <c r="Q848" s="120">
        <v>660</v>
      </c>
      <c r="R848" s="120">
        <v>521</v>
      </c>
      <c r="S848" s="148">
        <v>16.100000381469702</v>
      </c>
      <c r="T848" s="120">
        <v>65</v>
      </c>
      <c r="U848" s="120">
        <v>20</v>
      </c>
      <c r="V848" s="120">
        <v>-9999</v>
      </c>
      <c r="W848" s="120">
        <v>-9999</v>
      </c>
      <c r="X848" s="120">
        <v>-9999</v>
      </c>
      <c r="Y848" s="120">
        <v>-9999</v>
      </c>
      <c r="Z848" s="120">
        <v>-9999</v>
      </c>
      <c r="AA848" s="120">
        <v>68</v>
      </c>
      <c r="AB848" s="120">
        <v>14.5</v>
      </c>
      <c r="AC848" s="120">
        <v>847</v>
      </c>
      <c r="AD848" s="120">
        <v>2119</v>
      </c>
      <c r="AE848" s="120">
        <v>-9999</v>
      </c>
      <c r="AF848" s="120">
        <v>-9999</v>
      </c>
      <c r="AG848" s="120">
        <v>-9999</v>
      </c>
    </row>
    <row r="849" spans="1:33" x14ac:dyDescent="0.25">
      <c r="A849" s="120">
        <v>848</v>
      </c>
      <c r="B849" s="120" t="b">
        <v>0</v>
      </c>
      <c r="C849" s="120">
        <v>0</v>
      </c>
      <c r="D849" s="61">
        <v>2</v>
      </c>
      <c r="E849" s="120">
        <v>1</v>
      </c>
      <c r="F849" s="120" t="s">
        <v>186</v>
      </c>
      <c r="G849" s="55">
        <v>600</v>
      </c>
      <c r="H849" s="120">
        <v>3242</v>
      </c>
      <c r="I849" s="57">
        <v>100</v>
      </c>
      <c r="J849" s="120">
        <v>100</v>
      </c>
      <c r="K849" s="120">
        <v>3</v>
      </c>
      <c r="L849" s="120">
        <v>40</v>
      </c>
      <c r="M849" s="120">
        <v>15</v>
      </c>
      <c r="N849" s="120">
        <v>40</v>
      </c>
      <c r="O849" s="120">
        <v>2</v>
      </c>
      <c r="P849" s="120">
        <v>16.666999816894499</v>
      </c>
      <c r="Q849" s="120">
        <v>660</v>
      </c>
      <c r="R849" s="120">
        <v>521</v>
      </c>
      <c r="S849" s="148">
        <v>16.100000381469702</v>
      </c>
      <c r="T849" s="120">
        <v>57</v>
      </c>
      <c r="U849" s="120">
        <v>20</v>
      </c>
      <c r="V849" s="120">
        <v>-9999</v>
      </c>
      <c r="W849" s="120">
        <v>-9999</v>
      </c>
      <c r="X849" s="120">
        <v>-9999</v>
      </c>
      <c r="Y849" s="120">
        <v>-9999</v>
      </c>
      <c r="Z849" s="120">
        <v>-9999</v>
      </c>
      <c r="AA849" s="120">
        <v>68</v>
      </c>
      <c r="AB849" s="120">
        <v>14.5</v>
      </c>
      <c r="AC849" s="120">
        <v>848</v>
      </c>
      <c r="AD849" s="120">
        <v>2120</v>
      </c>
      <c r="AE849" s="120">
        <v>-9999</v>
      </c>
      <c r="AF849" s="120">
        <v>-9999</v>
      </c>
      <c r="AG849" s="120">
        <v>-9999</v>
      </c>
    </row>
    <row r="850" spans="1:33" x14ac:dyDescent="0.25">
      <c r="A850" s="120">
        <v>849</v>
      </c>
      <c r="B850" s="120" t="b">
        <v>0</v>
      </c>
      <c r="C850" s="120">
        <v>0</v>
      </c>
      <c r="D850" s="61">
        <v>2</v>
      </c>
      <c r="E850" s="120">
        <v>1</v>
      </c>
      <c r="F850" s="120" t="s">
        <v>186</v>
      </c>
      <c r="G850" s="55">
        <v>600</v>
      </c>
      <c r="H850" s="120">
        <v>3095</v>
      </c>
      <c r="I850" s="57">
        <v>100</v>
      </c>
      <c r="J850" s="120">
        <v>110</v>
      </c>
      <c r="K850" s="120">
        <v>4</v>
      </c>
      <c r="L850" s="120">
        <v>100</v>
      </c>
      <c r="M850" s="120">
        <v>15</v>
      </c>
      <c r="N850" s="120">
        <v>40</v>
      </c>
      <c r="O850" s="120">
        <v>2</v>
      </c>
      <c r="P850" s="120">
        <v>-9999</v>
      </c>
      <c r="Q850" s="120">
        <v>630</v>
      </c>
      <c r="R850" s="120">
        <v>497.29998779296898</v>
      </c>
      <c r="S850" s="148">
        <v>16.100000381469702</v>
      </c>
      <c r="T850" s="120">
        <v>-9999</v>
      </c>
      <c r="U850" s="120">
        <v>20</v>
      </c>
      <c r="V850" s="120">
        <v>-9999</v>
      </c>
      <c r="W850" s="120">
        <v>-9999</v>
      </c>
      <c r="X850" s="120">
        <v>-9999</v>
      </c>
      <c r="Y850" s="120">
        <v>-9999</v>
      </c>
      <c r="Z850" s="120">
        <v>-9999</v>
      </c>
      <c r="AA850" s="120">
        <v>68</v>
      </c>
      <c r="AB850" s="120">
        <v>14.5</v>
      </c>
      <c r="AC850" s="120">
        <v>849</v>
      </c>
      <c r="AD850" s="120">
        <v>2121</v>
      </c>
      <c r="AE850" s="120">
        <v>-9999</v>
      </c>
      <c r="AF850" s="120">
        <v>-9999</v>
      </c>
      <c r="AG850" s="120">
        <v>-9999</v>
      </c>
    </row>
    <row r="851" spans="1:33" x14ac:dyDescent="0.25">
      <c r="A851" s="120">
        <v>850</v>
      </c>
      <c r="B851" s="120" t="b">
        <v>0</v>
      </c>
      <c r="C851" s="120">
        <v>0</v>
      </c>
      <c r="D851" s="61">
        <v>2</v>
      </c>
      <c r="E851" s="120">
        <v>1</v>
      </c>
      <c r="F851" s="120" t="s">
        <v>186</v>
      </c>
      <c r="G851" s="55">
        <v>600</v>
      </c>
      <c r="H851" s="120">
        <v>3095</v>
      </c>
      <c r="I851" s="57">
        <v>100</v>
      </c>
      <c r="J851" s="120">
        <v>110</v>
      </c>
      <c r="K851" s="120">
        <v>11</v>
      </c>
      <c r="L851" s="120">
        <v>60</v>
      </c>
      <c r="M851" s="120">
        <v>15</v>
      </c>
      <c r="N851" s="120">
        <v>40</v>
      </c>
      <c r="O851" s="120">
        <v>2</v>
      </c>
      <c r="P851" s="120">
        <v>25</v>
      </c>
      <c r="Q851" s="120">
        <v>630</v>
      </c>
      <c r="R851" s="120">
        <v>497.29998779296898</v>
      </c>
      <c r="S851" s="148">
        <v>16.100000381469702</v>
      </c>
      <c r="T851" s="120">
        <v>70</v>
      </c>
      <c r="U851" s="120">
        <v>20</v>
      </c>
      <c r="V851" s="120">
        <v>-9999</v>
      </c>
      <c r="W851" s="120">
        <v>-9999</v>
      </c>
      <c r="X851" s="120">
        <v>-9999</v>
      </c>
      <c r="Y851" s="120">
        <v>-9999</v>
      </c>
      <c r="Z851" s="120">
        <v>-9999</v>
      </c>
      <c r="AA851" s="120">
        <v>68</v>
      </c>
      <c r="AB851" s="120">
        <v>14.5</v>
      </c>
      <c r="AC851" s="120">
        <v>850</v>
      </c>
      <c r="AD851" s="120">
        <v>2122</v>
      </c>
      <c r="AE851" s="120">
        <v>-9999</v>
      </c>
      <c r="AF851" s="120">
        <v>-9999</v>
      </c>
      <c r="AG851" s="120">
        <v>-9999</v>
      </c>
    </row>
    <row r="852" spans="1:33" x14ac:dyDescent="0.25">
      <c r="A852" s="120">
        <v>851</v>
      </c>
      <c r="B852" s="120" t="b">
        <v>0</v>
      </c>
      <c r="C852" s="120">
        <v>0</v>
      </c>
      <c r="D852" s="61">
        <v>3</v>
      </c>
      <c r="E852" s="120">
        <v>1</v>
      </c>
      <c r="F852" s="120" t="s">
        <v>173</v>
      </c>
      <c r="G852" s="55">
        <v>50</v>
      </c>
      <c r="H852" s="120">
        <v>221</v>
      </c>
      <c r="I852" s="57">
        <v>75</v>
      </c>
      <c r="J852" s="120">
        <v>85</v>
      </c>
      <c r="K852" s="120">
        <v>4</v>
      </c>
      <c r="L852" s="120">
        <v>100</v>
      </c>
      <c r="M852" s="120">
        <v>-9999</v>
      </c>
      <c r="N852" s="120">
        <v>-9999</v>
      </c>
      <c r="O852" s="120">
        <v>2</v>
      </c>
      <c r="P852" s="120">
        <v>-9999</v>
      </c>
      <c r="Q852" s="120">
        <v>51</v>
      </c>
      <c r="R852" s="120">
        <v>41.5</v>
      </c>
      <c r="S852" s="148">
        <v>18.700000762939499</v>
      </c>
      <c r="T852" s="120">
        <v>-9999</v>
      </c>
      <c r="U852" s="120">
        <v>22</v>
      </c>
      <c r="V852" s="120">
        <v>-9999</v>
      </c>
      <c r="W852" s="120">
        <v>-9999</v>
      </c>
      <c r="X852" s="120">
        <v>-9999</v>
      </c>
      <c r="Y852" s="120">
        <v>-9999</v>
      </c>
      <c r="Z852" s="120">
        <v>-9999</v>
      </c>
      <c r="AA852" s="120">
        <v>68</v>
      </c>
      <c r="AB852" s="120">
        <v>14.5</v>
      </c>
      <c r="AC852" s="120">
        <v>851</v>
      </c>
      <c r="AD852" s="120">
        <v>2123</v>
      </c>
      <c r="AE852" s="120">
        <v>-9999</v>
      </c>
      <c r="AF852" s="120">
        <v>-9999</v>
      </c>
      <c r="AG852" s="120">
        <v>-9999</v>
      </c>
    </row>
    <row r="853" spans="1:33" x14ac:dyDescent="0.25">
      <c r="A853" s="120">
        <v>852</v>
      </c>
      <c r="B853" s="120" t="b">
        <v>0</v>
      </c>
      <c r="C853" s="120">
        <v>0</v>
      </c>
      <c r="D853" s="61">
        <v>3</v>
      </c>
      <c r="E853" s="120">
        <v>1</v>
      </c>
      <c r="F853" s="120" t="s">
        <v>173</v>
      </c>
      <c r="G853" s="55">
        <v>50</v>
      </c>
      <c r="H853" s="120">
        <v>195</v>
      </c>
      <c r="I853" s="57">
        <v>100</v>
      </c>
      <c r="J853" s="120">
        <v>110</v>
      </c>
      <c r="K853" s="120">
        <v>4</v>
      </c>
      <c r="L853" s="120">
        <v>100</v>
      </c>
      <c r="M853" s="120">
        <v>-9999</v>
      </c>
      <c r="N853" s="120">
        <v>-9999</v>
      </c>
      <c r="O853" s="120">
        <v>2</v>
      </c>
      <c r="P853" s="120">
        <v>-9999</v>
      </c>
      <c r="Q853" s="120">
        <v>52.5</v>
      </c>
      <c r="R853" s="120">
        <v>42.700000762939503</v>
      </c>
      <c r="S853" s="148">
        <v>21.799999237060501</v>
      </c>
      <c r="T853" s="120">
        <v>-9999</v>
      </c>
      <c r="U853" s="120">
        <v>19</v>
      </c>
      <c r="V853" s="120">
        <v>-9999</v>
      </c>
      <c r="W853" s="120">
        <v>-9999</v>
      </c>
      <c r="X853" s="120">
        <v>-9999</v>
      </c>
      <c r="Y853" s="120">
        <v>-9999</v>
      </c>
      <c r="Z853" s="120">
        <v>-9999</v>
      </c>
      <c r="AA853" s="120">
        <v>68</v>
      </c>
      <c r="AB853" s="120">
        <v>14.5</v>
      </c>
      <c r="AC853" s="120">
        <v>852</v>
      </c>
      <c r="AD853" s="120">
        <v>2124</v>
      </c>
      <c r="AE853" s="120">
        <v>-9999</v>
      </c>
      <c r="AF853" s="120">
        <v>-9999</v>
      </c>
      <c r="AG853" s="120">
        <v>-9999</v>
      </c>
    </row>
    <row r="854" spans="1:33" x14ac:dyDescent="0.25">
      <c r="A854" s="120">
        <v>853</v>
      </c>
      <c r="B854" s="120" t="b">
        <v>0</v>
      </c>
      <c r="C854" s="120">
        <v>0</v>
      </c>
      <c r="D854" s="61">
        <v>3</v>
      </c>
      <c r="E854" s="120">
        <v>1</v>
      </c>
      <c r="F854" s="120" t="s">
        <v>173</v>
      </c>
      <c r="G854" s="55">
        <v>50</v>
      </c>
      <c r="H854" s="120">
        <v>186</v>
      </c>
      <c r="I854" s="57">
        <v>110</v>
      </c>
      <c r="J854" s="120">
        <v>120</v>
      </c>
      <c r="K854" s="120">
        <v>4</v>
      </c>
      <c r="L854" s="120">
        <v>100</v>
      </c>
      <c r="M854" s="120">
        <v>-9999</v>
      </c>
      <c r="N854" s="120">
        <v>-9999</v>
      </c>
      <c r="O854" s="120">
        <v>2</v>
      </c>
      <c r="P854" s="120">
        <v>-9999</v>
      </c>
      <c r="Q854" s="120">
        <v>52.5</v>
      </c>
      <c r="R854" s="120">
        <v>42.700000762939503</v>
      </c>
      <c r="S854" s="148">
        <v>22.899999618530298</v>
      </c>
      <c r="T854" s="120">
        <v>-9999</v>
      </c>
      <c r="U854" s="120">
        <v>18</v>
      </c>
      <c r="V854" s="120">
        <v>-9999</v>
      </c>
      <c r="W854" s="120">
        <v>-9999</v>
      </c>
      <c r="X854" s="120">
        <v>-9999</v>
      </c>
      <c r="Y854" s="120">
        <v>-9999</v>
      </c>
      <c r="Z854" s="120">
        <v>-9999</v>
      </c>
      <c r="AA854" s="120">
        <v>68</v>
      </c>
      <c r="AB854" s="120">
        <v>14.5</v>
      </c>
      <c r="AC854" s="120">
        <v>853</v>
      </c>
      <c r="AD854" s="120">
        <v>2125</v>
      </c>
      <c r="AE854" s="120">
        <v>-9999</v>
      </c>
      <c r="AF854" s="120">
        <v>-9999</v>
      </c>
      <c r="AG854" s="120">
        <v>-9999</v>
      </c>
    </row>
    <row r="855" spans="1:33" x14ac:dyDescent="0.25">
      <c r="A855" s="120">
        <v>854</v>
      </c>
      <c r="B855" s="120" t="b">
        <v>0</v>
      </c>
      <c r="C855" s="120">
        <v>0</v>
      </c>
      <c r="D855" s="61">
        <v>3</v>
      </c>
      <c r="E855" s="120">
        <v>1</v>
      </c>
      <c r="F855" s="120" t="s">
        <v>173</v>
      </c>
      <c r="G855" s="55">
        <v>50</v>
      </c>
      <c r="H855" s="120">
        <v>182</v>
      </c>
      <c r="I855" s="57">
        <v>115</v>
      </c>
      <c r="J855" s="120">
        <v>125</v>
      </c>
      <c r="K855" s="120">
        <v>4</v>
      </c>
      <c r="L855" s="120">
        <v>100</v>
      </c>
      <c r="M855" s="120">
        <v>-9999</v>
      </c>
      <c r="N855" s="120">
        <v>-9999</v>
      </c>
      <c r="O855" s="120">
        <v>2</v>
      </c>
      <c r="P855" s="120">
        <v>-9999</v>
      </c>
      <c r="Q855" s="120">
        <v>52.5</v>
      </c>
      <c r="R855" s="120">
        <v>42.700000762939503</v>
      </c>
      <c r="S855" s="148">
        <v>23.5</v>
      </c>
      <c r="T855" s="120">
        <v>-9999</v>
      </c>
      <c r="U855" s="120">
        <v>18</v>
      </c>
      <c r="V855" s="120">
        <v>-9999</v>
      </c>
      <c r="W855" s="120">
        <v>-9999</v>
      </c>
      <c r="X855" s="120">
        <v>-9999</v>
      </c>
      <c r="Y855" s="120">
        <v>-9999</v>
      </c>
      <c r="Z855" s="120">
        <v>-9999</v>
      </c>
      <c r="AA855" s="120">
        <v>68</v>
      </c>
      <c r="AB855" s="120">
        <v>14.5</v>
      </c>
      <c r="AC855" s="120">
        <v>854</v>
      </c>
      <c r="AD855" s="120">
        <v>2126</v>
      </c>
      <c r="AE855" s="120">
        <v>-9999</v>
      </c>
      <c r="AF855" s="120">
        <v>-9999</v>
      </c>
      <c r="AG855" s="120">
        <v>-9999</v>
      </c>
    </row>
    <row r="856" spans="1:33" x14ac:dyDescent="0.25">
      <c r="A856" s="120">
        <v>855</v>
      </c>
      <c r="B856" s="120" t="b">
        <v>0</v>
      </c>
      <c r="C856" s="120">
        <v>0</v>
      </c>
      <c r="D856" s="61">
        <v>3</v>
      </c>
      <c r="E856" s="120">
        <v>1</v>
      </c>
      <c r="F856" s="120" t="s">
        <v>173</v>
      </c>
      <c r="G856" s="55">
        <v>50</v>
      </c>
      <c r="H856" s="120">
        <v>174</v>
      </c>
      <c r="I856" s="57">
        <v>125</v>
      </c>
      <c r="J856" s="120">
        <v>135</v>
      </c>
      <c r="K856" s="120">
        <v>4</v>
      </c>
      <c r="L856" s="120">
        <v>100</v>
      </c>
      <c r="M856" s="120">
        <v>-9999</v>
      </c>
      <c r="N856" s="120">
        <v>-9999</v>
      </c>
      <c r="O856" s="120">
        <v>2</v>
      </c>
      <c r="P856" s="120">
        <v>-9999</v>
      </c>
      <c r="Q856" s="120">
        <v>52.5</v>
      </c>
      <c r="R856" s="120">
        <v>42.700000762939503</v>
      </c>
      <c r="S856" s="148">
        <v>24.600000381469702</v>
      </c>
      <c r="T856" s="120">
        <v>-9999</v>
      </c>
      <c r="U856" s="120">
        <v>17</v>
      </c>
      <c r="V856" s="120">
        <v>-9999</v>
      </c>
      <c r="W856" s="120">
        <v>-9999</v>
      </c>
      <c r="X856" s="120">
        <v>-9999</v>
      </c>
      <c r="Y856" s="120">
        <v>-9999</v>
      </c>
      <c r="Z856" s="120">
        <v>-9999</v>
      </c>
      <c r="AA856" s="120">
        <v>68</v>
      </c>
      <c r="AB856" s="120">
        <v>14.5</v>
      </c>
      <c r="AC856" s="120">
        <v>855</v>
      </c>
      <c r="AD856" s="120">
        <v>2127</v>
      </c>
      <c r="AE856" s="120">
        <v>-9999</v>
      </c>
      <c r="AF856" s="120">
        <v>-9999</v>
      </c>
      <c r="AG856" s="120">
        <v>-9999</v>
      </c>
    </row>
    <row r="857" spans="1:33" x14ac:dyDescent="0.25">
      <c r="A857" s="120">
        <v>856</v>
      </c>
      <c r="B857" s="120" t="b">
        <v>0</v>
      </c>
      <c r="C857" s="120">
        <v>0</v>
      </c>
      <c r="D857" s="61">
        <v>3</v>
      </c>
      <c r="E857" s="120">
        <v>1</v>
      </c>
      <c r="F857" s="120" t="s">
        <v>173</v>
      </c>
      <c r="G857" s="55">
        <v>50</v>
      </c>
      <c r="H857" s="120">
        <v>163</v>
      </c>
      <c r="I857" s="57">
        <v>135</v>
      </c>
      <c r="J857" s="120">
        <v>145</v>
      </c>
      <c r="K857" s="120">
        <v>4</v>
      </c>
      <c r="L857" s="120">
        <v>100</v>
      </c>
      <c r="M857" s="120">
        <v>-9999</v>
      </c>
      <c r="N857" s="120">
        <v>-9999</v>
      </c>
      <c r="O857" s="120">
        <v>2</v>
      </c>
      <c r="P857" s="120">
        <v>-9999</v>
      </c>
      <c r="Q857" s="120">
        <v>52.5</v>
      </c>
      <c r="R857" s="120">
        <v>42.700000762939503</v>
      </c>
      <c r="S857" s="148">
        <v>26.200000762939499</v>
      </c>
      <c r="T857" s="120">
        <v>-9999</v>
      </c>
      <c r="U857" s="120">
        <v>16</v>
      </c>
      <c r="V857" s="120">
        <v>-9999</v>
      </c>
      <c r="W857" s="120">
        <v>-9999</v>
      </c>
      <c r="X857" s="120">
        <v>-9999</v>
      </c>
      <c r="Y857" s="120">
        <v>-9999</v>
      </c>
      <c r="Z857" s="120">
        <v>-9999</v>
      </c>
      <c r="AA857" s="120">
        <v>68</v>
      </c>
      <c r="AB857" s="120">
        <v>14.5</v>
      </c>
      <c r="AC857" s="120">
        <v>856</v>
      </c>
      <c r="AD857" s="120">
        <v>2128</v>
      </c>
      <c r="AE857" s="120">
        <v>-9999</v>
      </c>
      <c r="AF857" s="120">
        <v>-9999</v>
      </c>
      <c r="AG857" s="120">
        <v>-9999</v>
      </c>
    </row>
    <row r="858" spans="1:33" x14ac:dyDescent="0.25">
      <c r="A858" s="120">
        <v>857</v>
      </c>
      <c r="B858" s="120" t="b">
        <v>0</v>
      </c>
      <c r="C858" s="120">
        <v>0</v>
      </c>
      <c r="D858" s="61">
        <v>3</v>
      </c>
      <c r="E858" s="120">
        <v>1</v>
      </c>
      <c r="F858" s="120" t="s">
        <v>173</v>
      </c>
      <c r="G858" s="55">
        <v>50</v>
      </c>
      <c r="H858" s="120">
        <v>153</v>
      </c>
      <c r="I858" s="57">
        <v>150</v>
      </c>
      <c r="J858" s="120">
        <v>160</v>
      </c>
      <c r="K858" s="120">
        <v>4</v>
      </c>
      <c r="L858" s="120">
        <v>100</v>
      </c>
      <c r="M858" s="120">
        <v>-9999</v>
      </c>
      <c r="N858" s="120">
        <v>-9999</v>
      </c>
      <c r="O858" s="120">
        <v>2</v>
      </c>
      <c r="P858" s="120">
        <v>-9999</v>
      </c>
      <c r="Q858" s="120">
        <v>52.5</v>
      </c>
      <c r="R858" s="120">
        <v>42.700000762939503</v>
      </c>
      <c r="S858" s="148">
        <v>27.899999618530298</v>
      </c>
      <c r="T858" s="120">
        <v>-9999</v>
      </c>
      <c r="U858" s="120">
        <v>16</v>
      </c>
      <c r="V858" s="120">
        <v>-9999</v>
      </c>
      <c r="W858" s="120">
        <v>-9999</v>
      </c>
      <c r="X858" s="120">
        <v>-9999</v>
      </c>
      <c r="Y858" s="120">
        <v>-9999</v>
      </c>
      <c r="Z858" s="120">
        <v>-9999</v>
      </c>
      <c r="AA858" s="120">
        <v>68</v>
      </c>
      <c r="AB858" s="120">
        <v>14.5</v>
      </c>
      <c r="AC858" s="120">
        <v>857</v>
      </c>
      <c r="AD858" s="120">
        <v>2129</v>
      </c>
      <c r="AE858" s="120">
        <v>-9999</v>
      </c>
      <c r="AF858" s="120">
        <v>-9999</v>
      </c>
      <c r="AG858" s="120">
        <v>-9999</v>
      </c>
    </row>
    <row r="859" spans="1:33" x14ac:dyDescent="0.25">
      <c r="A859" s="120">
        <v>858</v>
      </c>
      <c r="B859" s="120" t="b">
        <v>0</v>
      </c>
      <c r="C859" s="120">
        <v>0</v>
      </c>
      <c r="D859" s="61">
        <v>3</v>
      </c>
      <c r="E859" s="120">
        <v>1</v>
      </c>
      <c r="F859" s="120" t="s">
        <v>174</v>
      </c>
      <c r="G859" s="55">
        <v>60</v>
      </c>
      <c r="H859" s="120">
        <v>274</v>
      </c>
      <c r="I859" s="57">
        <v>75</v>
      </c>
      <c r="J859" s="120">
        <v>85</v>
      </c>
      <c r="K859" s="120">
        <v>4</v>
      </c>
      <c r="L859" s="120">
        <v>100</v>
      </c>
      <c r="M859" s="120">
        <v>-9999</v>
      </c>
      <c r="N859" s="120">
        <v>-9999</v>
      </c>
      <c r="O859" s="120">
        <v>2</v>
      </c>
      <c r="P859" s="120">
        <v>-9999</v>
      </c>
      <c r="Q859" s="120">
        <v>61.200000762939503</v>
      </c>
      <c r="R859" s="120">
        <v>49.799999237060497</v>
      </c>
      <c r="S859" s="148">
        <v>18.200000762939499</v>
      </c>
      <c r="T859" s="120">
        <v>-9999</v>
      </c>
      <c r="U859" s="120">
        <v>24</v>
      </c>
      <c r="V859" s="120">
        <v>-9999</v>
      </c>
      <c r="W859" s="120">
        <v>-9999</v>
      </c>
      <c r="X859" s="120">
        <v>-9999</v>
      </c>
      <c r="Y859" s="120">
        <v>-9999</v>
      </c>
      <c r="Z859" s="120">
        <v>-9999</v>
      </c>
      <c r="AA859" s="120">
        <v>68</v>
      </c>
      <c r="AB859" s="120">
        <v>14.5</v>
      </c>
      <c r="AC859" s="120">
        <v>858</v>
      </c>
      <c r="AD859" s="120">
        <v>2130</v>
      </c>
      <c r="AE859" s="120">
        <v>-9999</v>
      </c>
      <c r="AF859" s="120">
        <v>-9999</v>
      </c>
      <c r="AG859" s="120">
        <v>-9999</v>
      </c>
    </row>
    <row r="860" spans="1:33" x14ac:dyDescent="0.25">
      <c r="A860" s="120">
        <v>859</v>
      </c>
      <c r="B860" s="120" t="b">
        <v>0</v>
      </c>
      <c r="C860" s="120">
        <v>0</v>
      </c>
      <c r="D860" s="61">
        <v>3</v>
      </c>
      <c r="E860" s="120">
        <v>1</v>
      </c>
      <c r="F860" s="120" t="s">
        <v>174</v>
      </c>
      <c r="G860" s="55">
        <v>60</v>
      </c>
      <c r="H860" s="120">
        <v>249</v>
      </c>
      <c r="I860" s="57">
        <v>100</v>
      </c>
      <c r="J860" s="120">
        <v>110</v>
      </c>
      <c r="K860" s="120">
        <v>4</v>
      </c>
      <c r="L860" s="120">
        <v>100</v>
      </c>
      <c r="M860" s="120">
        <v>-9999</v>
      </c>
      <c r="N860" s="120">
        <v>-9999</v>
      </c>
      <c r="O860" s="120">
        <v>2</v>
      </c>
      <c r="P860" s="120">
        <v>-9999</v>
      </c>
      <c r="Q860" s="120">
        <v>63</v>
      </c>
      <c r="R860" s="120">
        <v>51.299999237060497</v>
      </c>
      <c r="S860" s="148">
        <v>20.600000381469702</v>
      </c>
      <c r="T860" s="120">
        <v>-9999</v>
      </c>
      <c r="U860" s="120">
        <v>21</v>
      </c>
      <c r="V860" s="120">
        <v>-9999</v>
      </c>
      <c r="W860" s="120">
        <v>-9999</v>
      </c>
      <c r="X860" s="120">
        <v>-9999</v>
      </c>
      <c r="Y860" s="120">
        <v>-9999</v>
      </c>
      <c r="Z860" s="120">
        <v>-9999</v>
      </c>
      <c r="AA860" s="120">
        <v>68</v>
      </c>
      <c r="AB860" s="120">
        <v>14.5</v>
      </c>
      <c r="AC860" s="120">
        <v>859</v>
      </c>
      <c r="AD860" s="120">
        <v>2131</v>
      </c>
      <c r="AE860" s="120">
        <v>-9999</v>
      </c>
      <c r="AF860" s="120">
        <v>-9999</v>
      </c>
      <c r="AG860" s="120">
        <v>-9999</v>
      </c>
    </row>
    <row r="861" spans="1:33" x14ac:dyDescent="0.25">
      <c r="A861" s="120">
        <v>860</v>
      </c>
      <c r="B861" s="120" t="b">
        <v>0</v>
      </c>
      <c r="C861" s="120">
        <v>0</v>
      </c>
      <c r="D861" s="61">
        <v>3</v>
      </c>
      <c r="E861" s="120">
        <v>1</v>
      </c>
      <c r="F861" s="120" t="s">
        <v>174</v>
      </c>
      <c r="G861" s="55">
        <v>60</v>
      </c>
      <c r="H861" s="120">
        <v>239</v>
      </c>
      <c r="I861" s="57">
        <v>110</v>
      </c>
      <c r="J861" s="120">
        <v>120</v>
      </c>
      <c r="K861" s="120">
        <v>4</v>
      </c>
      <c r="L861" s="120">
        <v>100</v>
      </c>
      <c r="M861" s="120">
        <v>-9999</v>
      </c>
      <c r="N861" s="120">
        <v>-9999</v>
      </c>
      <c r="O861" s="120">
        <v>2</v>
      </c>
      <c r="P861" s="120">
        <v>-9999</v>
      </c>
      <c r="Q861" s="120">
        <v>63</v>
      </c>
      <c r="R861" s="120">
        <v>51.299999237060497</v>
      </c>
      <c r="S861" s="148">
        <v>21.399999618530298</v>
      </c>
      <c r="T861" s="120">
        <v>-9999</v>
      </c>
      <c r="U861" s="120">
        <v>20</v>
      </c>
      <c r="V861" s="120">
        <v>-9999</v>
      </c>
      <c r="W861" s="120">
        <v>-9999</v>
      </c>
      <c r="X861" s="120">
        <v>-9999</v>
      </c>
      <c r="Y861" s="120">
        <v>-9999</v>
      </c>
      <c r="Z861" s="120">
        <v>-9999</v>
      </c>
      <c r="AA861" s="120">
        <v>68</v>
      </c>
      <c r="AB861" s="120">
        <v>14.5</v>
      </c>
      <c r="AC861" s="120">
        <v>860</v>
      </c>
      <c r="AD861" s="120">
        <v>2132</v>
      </c>
      <c r="AE861" s="120">
        <v>-9999</v>
      </c>
      <c r="AF861" s="120">
        <v>-9999</v>
      </c>
      <c r="AG861" s="120">
        <v>-9999</v>
      </c>
    </row>
    <row r="862" spans="1:33" x14ac:dyDescent="0.25">
      <c r="A862" s="120">
        <v>861</v>
      </c>
      <c r="B862" s="120" t="b">
        <v>0</v>
      </c>
      <c r="C862" s="120">
        <v>0</v>
      </c>
      <c r="D862" s="61">
        <v>3</v>
      </c>
      <c r="E862" s="120">
        <v>1</v>
      </c>
      <c r="F862" s="120" t="s">
        <v>174</v>
      </c>
      <c r="G862" s="55">
        <v>60</v>
      </c>
      <c r="H862" s="120">
        <v>231</v>
      </c>
      <c r="I862" s="57">
        <v>115</v>
      </c>
      <c r="J862" s="120">
        <v>125</v>
      </c>
      <c r="K862" s="120">
        <v>4</v>
      </c>
      <c r="L862" s="120">
        <v>100</v>
      </c>
      <c r="M862" s="120">
        <v>-9999</v>
      </c>
      <c r="N862" s="120">
        <v>-9999</v>
      </c>
      <c r="O862" s="120">
        <v>2</v>
      </c>
      <c r="P862" s="120">
        <v>-9999</v>
      </c>
      <c r="Q862" s="120">
        <v>63</v>
      </c>
      <c r="R862" s="120">
        <v>51.299999237060497</v>
      </c>
      <c r="S862" s="148">
        <v>22.200000762939499</v>
      </c>
      <c r="T862" s="120">
        <v>-9999</v>
      </c>
      <c r="U862" s="120">
        <v>20</v>
      </c>
      <c r="V862" s="120">
        <v>-9999</v>
      </c>
      <c r="W862" s="120">
        <v>-9999</v>
      </c>
      <c r="X862" s="120">
        <v>-9999</v>
      </c>
      <c r="Y862" s="120">
        <v>-9999</v>
      </c>
      <c r="Z862" s="120">
        <v>-9999</v>
      </c>
      <c r="AA862" s="120">
        <v>68</v>
      </c>
      <c r="AB862" s="120">
        <v>14.5</v>
      </c>
      <c r="AC862" s="120">
        <v>861</v>
      </c>
      <c r="AD862" s="120">
        <v>2133</v>
      </c>
      <c r="AE862" s="120">
        <v>-9999</v>
      </c>
      <c r="AF862" s="120">
        <v>-9999</v>
      </c>
      <c r="AG862" s="120">
        <v>-9999</v>
      </c>
    </row>
    <row r="863" spans="1:33" x14ac:dyDescent="0.25">
      <c r="A863" s="120">
        <v>862</v>
      </c>
      <c r="B863" s="120" t="b">
        <v>0</v>
      </c>
      <c r="C863" s="120">
        <v>0</v>
      </c>
      <c r="D863" s="61">
        <v>3</v>
      </c>
      <c r="E863" s="120">
        <v>1</v>
      </c>
      <c r="F863" s="120" t="s">
        <v>174</v>
      </c>
      <c r="G863" s="55">
        <v>60</v>
      </c>
      <c r="H863" s="120">
        <v>220</v>
      </c>
      <c r="I863" s="57">
        <v>125</v>
      </c>
      <c r="J863" s="120">
        <v>135</v>
      </c>
      <c r="K863" s="120">
        <v>4</v>
      </c>
      <c r="L863" s="120">
        <v>100</v>
      </c>
      <c r="M863" s="120">
        <v>-9999</v>
      </c>
      <c r="N863" s="120">
        <v>-9999</v>
      </c>
      <c r="O863" s="120">
        <v>2</v>
      </c>
      <c r="P863" s="120">
        <v>-9999</v>
      </c>
      <c r="Q863" s="120">
        <v>63</v>
      </c>
      <c r="R863" s="120">
        <v>51.299999237060497</v>
      </c>
      <c r="S863" s="148">
        <v>23.299999237060501</v>
      </c>
      <c r="T863" s="120">
        <v>-9999</v>
      </c>
      <c r="U863" s="120">
        <v>19</v>
      </c>
      <c r="V863" s="120">
        <v>-9999</v>
      </c>
      <c r="W863" s="120">
        <v>-9999</v>
      </c>
      <c r="X863" s="120">
        <v>-9999</v>
      </c>
      <c r="Y863" s="120">
        <v>-9999</v>
      </c>
      <c r="Z863" s="120">
        <v>-9999</v>
      </c>
      <c r="AA863" s="120">
        <v>68</v>
      </c>
      <c r="AB863" s="120">
        <v>14.5</v>
      </c>
      <c r="AC863" s="120">
        <v>862</v>
      </c>
      <c r="AD863" s="120">
        <v>2134</v>
      </c>
      <c r="AE863" s="120">
        <v>-9999</v>
      </c>
      <c r="AF863" s="120">
        <v>-9999</v>
      </c>
      <c r="AG863" s="120">
        <v>-9999</v>
      </c>
    </row>
    <row r="864" spans="1:33" x14ac:dyDescent="0.25">
      <c r="A864" s="120">
        <v>863</v>
      </c>
      <c r="B864" s="120" t="b">
        <v>0</v>
      </c>
      <c r="C864" s="120">
        <v>0</v>
      </c>
      <c r="D864" s="61">
        <v>3</v>
      </c>
      <c r="E864" s="120">
        <v>1</v>
      </c>
      <c r="F864" s="120" t="s">
        <v>174</v>
      </c>
      <c r="G864" s="55">
        <v>60</v>
      </c>
      <c r="H864" s="120">
        <v>208</v>
      </c>
      <c r="I864" s="57">
        <v>135</v>
      </c>
      <c r="J864" s="120">
        <v>145</v>
      </c>
      <c r="K864" s="120">
        <v>4</v>
      </c>
      <c r="L864" s="120">
        <v>100</v>
      </c>
      <c r="M864" s="120">
        <v>-9999</v>
      </c>
      <c r="N864" s="120">
        <v>-9999</v>
      </c>
      <c r="O864" s="120">
        <v>2</v>
      </c>
      <c r="P864" s="120">
        <v>-9999</v>
      </c>
      <c r="Q864" s="120">
        <v>63</v>
      </c>
      <c r="R864" s="120">
        <v>51.299999237060497</v>
      </c>
      <c r="S864" s="148">
        <v>24.700000762939499</v>
      </c>
      <c r="T864" s="120">
        <v>-9999</v>
      </c>
      <c r="U864" s="120">
        <v>18</v>
      </c>
      <c r="V864" s="120">
        <v>-9999</v>
      </c>
      <c r="W864" s="120">
        <v>-9999</v>
      </c>
      <c r="X864" s="120">
        <v>-9999</v>
      </c>
      <c r="Y864" s="120">
        <v>-9999</v>
      </c>
      <c r="Z864" s="120">
        <v>-9999</v>
      </c>
      <c r="AA864" s="120">
        <v>68</v>
      </c>
      <c r="AB864" s="120">
        <v>14.5</v>
      </c>
      <c r="AC864" s="120">
        <v>863</v>
      </c>
      <c r="AD864" s="120">
        <v>2135</v>
      </c>
      <c r="AE864" s="120">
        <v>-9999</v>
      </c>
      <c r="AF864" s="120">
        <v>-9999</v>
      </c>
      <c r="AG864" s="120">
        <v>-9999</v>
      </c>
    </row>
    <row r="865" spans="1:33" x14ac:dyDescent="0.25">
      <c r="A865" s="120">
        <v>864</v>
      </c>
      <c r="B865" s="120" t="b">
        <v>0</v>
      </c>
      <c r="C865" s="120">
        <v>0</v>
      </c>
      <c r="D865" s="61">
        <v>3</v>
      </c>
      <c r="E865" s="120">
        <v>1</v>
      </c>
      <c r="F865" s="120" t="s">
        <v>174</v>
      </c>
      <c r="G865" s="55">
        <v>60</v>
      </c>
      <c r="H865" s="120">
        <v>194</v>
      </c>
      <c r="I865" s="57">
        <v>150</v>
      </c>
      <c r="J865" s="120">
        <v>160</v>
      </c>
      <c r="K865" s="120">
        <v>4</v>
      </c>
      <c r="L865" s="120">
        <v>100</v>
      </c>
      <c r="M865" s="120">
        <v>-9999</v>
      </c>
      <c r="N865" s="120">
        <v>-9999</v>
      </c>
      <c r="O865" s="120">
        <v>2</v>
      </c>
      <c r="P865" s="120">
        <v>-9999</v>
      </c>
      <c r="Q865" s="120">
        <v>63</v>
      </c>
      <c r="R865" s="120">
        <v>51.299999237060497</v>
      </c>
      <c r="S865" s="148">
        <v>26.399999618530298</v>
      </c>
      <c r="T865" s="120">
        <v>-9999</v>
      </c>
      <c r="U865" s="120">
        <v>17</v>
      </c>
      <c r="V865" s="120">
        <v>-9999</v>
      </c>
      <c r="W865" s="120">
        <v>-9999</v>
      </c>
      <c r="X865" s="120">
        <v>-9999</v>
      </c>
      <c r="Y865" s="120">
        <v>-9999</v>
      </c>
      <c r="Z865" s="120">
        <v>-9999</v>
      </c>
      <c r="AA865" s="120">
        <v>68</v>
      </c>
      <c r="AB865" s="120">
        <v>14.5</v>
      </c>
      <c r="AC865" s="120">
        <v>864</v>
      </c>
      <c r="AD865" s="120">
        <v>2136</v>
      </c>
      <c r="AE865" s="120">
        <v>-9999</v>
      </c>
      <c r="AF865" s="120">
        <v>-9999</v>
      </c>
      <c r="AG865" s="120">
        <v>-9999</v>
      </c>
    </row>
    <row r="866" spans="1:33" x14ac:dyDescent="0.25">
      <c r="A866" s="120">
        <v>865</v>
      </c>
      <c r="B866" s="120" t="b">
        <v>0</v>
      </c>
      <c r="C866" s="120">
        <v>0</v>
      </c>
      <c r="D866" s="61">
        <v>3</v>
      </c>
      <c r="E866" s="120">
        <v>1</v>
      </c>
      <c r="F866" s="120" t="s">
        <v>175</v>
      </c>
      <c r="G866" s="55">
        <v>75</v>
      </c>
      <c r="H866" s="120">
        <v>368</v>
      </c>
      <c r="I866" s="57">
        <v>75</v>
      </c>
      <c r="J866" s="120">
        <v>85</v>
      </c>
      <c r="K866" s="120">
        <v>4</v>
      </c>
      <c r="L866" s="120">
        <v>100</v>
      </c>
      <c r="M866" s="120">
        <v>-9999</v>
      </c>
      <c r="N866" s="120">
        <v>-9999</v>
      </c>
      <c r="O866" s="120">
        <v>2</v>
      </c>
      <c r="P866" s="120">
        <v>-9999</v>
      </c>
      <c r="Q866" s="120">
        <v>76.5</v>
      </c>
      <c r="R866" s="120">
        <v>62.200000762939503</v>
      </c>
      <c r="S866" s="148">
        <v>16.899999618530298</v>
      </c>
      <c r="T866" s="120">
        <v>-9999</v>
      </c>
      <c r="U866" s="120">
        <v>24</v>
      </c>
      <c r="V866" s="120">
        <v>-9999</v>
      </c>
      <c r="W866" s="120">
        <v>-9999</v>
      </c>
      <c r="X866" s="120">
        <v>-9999</v>
      </c>
      <c r="Y866" s="120">
        <v>-9999</v>
      </c>
      <c r="Z866" s="120">
        <v>-9999</v>
      </c>
      <c r="AA866" s="120">
        <v>68</v>
      </c>
      <c r="AB866" s="120">
        <v>14.5</v>
      </c>
      <c r="AC866" s="120">
        <v>865</v>
      </c>
      <c r="AD866" s="120">
        <v>2137</v>
      </c>
      <c r="AE866" s="120">
        <v>-9999</v>
      </c>
      <c r="AF866" s="120">
        <v>-9999</v>
      </c>
      <c r="AG866" s="120">
        <v>-9999</v>
      </c>
    </row>
    <row r="867" spans="1:33" x14ac:dyDescent="0.25">
      <c r="A867" s="120">
        <v>866</v>
      </c>
      <c r="B867" s="120" t="b">
        <v>0</v>
      </c>
      <c r="C867" s="120">
        <v>0</v>
      </c>
      <c r="D867" s="61">
        <v>3</v>
      </c>
      <c r="E867" s="120">
        <v>1</v>
      </c>
      <c r="F867" s="120" t="s">
        <v>175</v>
      </c>
      <c r="G867" s="55">
        <v>75</v>
      </c>
      <c r="H867" s="120">
        <v>331</v>
      </c>
      <c r="I867" s="57">
        <v>100</v>
      </c>
      <c r="J867" s="120">
        <v>110</v>
      </c>
      <c r="K867" s="120">
        <v>4</v>
      </c>
      <c r="L867" s="120">
        <v>100</v>
      </c>
      <c r="M867" s="120">
        <v>-9999</v>
      </c>
      <c r="N867" s="120">
        <v>-9999</v>
      </c>
      <c r="O867" s="120">
        <v>2</v>
      </c>
      <c r="P867" s="120">
        <v>-9999</v>
      </c>
      <c r="Q867" s="120">
        <v>78.800003051757798</v>
      </c>
      <c r="R867" s="120">
        <v>64.099998474121094</v>
      </c>
      <c r="S867" s="148">
        <v>19.399999618530298</v>
      </c>
      <c r="T867" s="120">
        <v>-9999</v>
      </c>
      <c r="U867" s="120">
        <v>21</v>
      </c>
      <c r="V867" s="120">
        <v>-9999</v>
      </c>
      <c r="W867" s="120">
        <v>-9999</v>
      </c>
      <c r="X867" s="120">
        <v>-9999</v>
      </c>
      <c r="Y867" s="120">
        <v>-9999</v>
      </c>
      <c r="Z867" s="120">
        <v>-9999</v>
      </c>
      <c r="AA867" s="120">
        <v>68</v>
      </c>
      <c r="AB867" s="120">
        <v>14.5</v>
      </c>
      <c r="AC867" s="120">
        <v>866</v>
      </c>
      <c r="AD867" s="120">
        <v>2138</v>
      </c>
      <c r="AE867" s="120">
        <v>-9999</v>
      </c>
      <c r="AF867" s="120">
        <v>-9999</v>
      </c>
      <c r="AG867" s="120">
        <v>-9999</v>
      </c>
    </row>
    <row r="868" spans="1:33" x14ac:dyDescent="0.25">
      <c r="A868" s="120">
        <v>867</v>
      </c>
      <c r="B868" s="120" t="b">
        <v>0</v>
      </c>
      <c r="C868" s="120">
        <v>0</v>
      </c>
      <c r="D868" s="61">
        <v>3</v>
      </c>
      <c r="E868" s="120">
        <v>1</v>
      </c>
      <c r="F868" s="120" t="s">
        <v>175</v>
      </c>
      <c r="G868" s="55">
        <v>75</v>
      </c>
      <c r="H868" s="120">
        <v>316</v>
      </c>
      <c r="I868" s="57">
        <v>110</v>
      </c>
      <c r="J868" s="120">
        <v>120</v>
      </c>
      <c r="K868" s="120">
        <v>4</v>
      </c>
      <c r="L868" s="120">
        <v>100</v>
      </c>
      <c r="M868" s="120">
        <v>-9999</v>
      </c>
      <c r="N868" s="120">
        <v>-9999</v>
      </c>
      <c r="O868" s="120">
        <v>2</v>
      </c>
      <c r="P868" s="120">
        <v>-9999</v>
      </c>
      <c r="Q868" s="120">
        <v>78.800003051757798</v>
      </c>
      <c r="R868" s="120">
        <v>64.099998474121094</v>
      </c>
      <c r="S868" s="148">
        <v>20.299999237060501</v>
      </c>
      <c r="T868" s="120">
        <v>-9999</v>
      </c>
      <c r="U868" s="120">
        <v>21</v>
      </c>
      <c r="V868" s="120">
        <v>-9999</v>
      </c>
      <c r="W868" s="120">
        <v>-9999</v>
      </c>
      <c r="X868" s="120">
        <v>-9999</v>
      </c>
      <c r="Y868" s="120">
        <v>-9999</v>
      </c>
      <c r="Z868" s="120">
        <v>-9999</v>
      </c>
      <c r="AA868" s="120">
        <v>68</v>
      </c>
      <c r="AB868" s="120">
        <v>14.5</v>
      </c>
      <c r="AC868" s="120">
        <v>867</v>
      </c>
      <c r="AD868" s="120">
        <v>2139</v>
      </c>
      <c r="AE868" s="120">
        <v>-9999</v>
      </c>
      <c r="AF868" s="120">
        <v>-9999</v>
      </c>
      <c r="AG868" s="120">
        <v>-9999</v>
      </c>
    </row>
    <row r="869" spans="1:33" x14ac:dyDescent="0.25">
      <c r="A869" s="120">
        <v>868</v>
      </c>
      <c r="B869" s="120" t="b">
        <v>0</v>
      </c>
      <c r="C869" s="120">
        <v>0</v>
      </c>
      <c r="D869" s="61">
        <v>3</v>
      </c>
      <c r="E869" s="120">
        <v>1</v>
      </c>
      <c r="F869" s="120" t="s">
        <v>175</v>
      </c>
      <c r="G869" s="55">
        <v>75</v>
      </c>
      <c r="H869" s="120">
        <v>308</v>
      </c>
      <c r="I869" s="57">
        <v>115</v>
      </c>
      <c r="J869" s="120">
        <v>125</v>
      </c>
      <c r="K869" s="120">
        <v>4</v>
      </c>
      <c r="L869" s="120">
        <v>100</v>
      </c>
      <c r="M869" s="120">
        <v>-9999</v>
      </c>
      <c r="N869" s="120">
        <v>-9999</v>
      </c>
      <c r="O869" s="120">
        <v>2</v>
      </c>
      <c r="P869" s="120">
        <v>-9999</v>
      </c>
      <c r="Q869" s="120">
        <v>78.800003051757798</v>
      </c>
      <c r="R869" s="120">
        <v>64.099998474121094</v>
      </c>
      <c r="S869" s="148">
        <v>20.799999237060501</v>
      </c>
      <c r="T869" s="120">
        <v>-9999</v>
      </c>
      <c r="U869" s="120">
        <v>20</v>
      </c>
      <c r="V869" s="120">
        <v>-9999</v>
      </c>
      <c r="W869" s="120">
        <v>-9999</v>
      </c>
      <c r="X869" s="120">
        <v>-9999</v>
      </c>
      <c r="Y869" s="120">
        <v>-9999</v>
      </c>
      <c r="Z869" s="120">
        <v>-9999</v>
      </c>
      <c r="AA869" s="120">
        <v>68</v>
      </c>
      <c r="AB869" s="120">
        <v>14.5</v>
      </c>
      <c r="AC869" s="120">
        <v>868</v>
      </c>
      <c r="AD869" s="120">
        <v>2140</v>
      </c>
      <c r="AE869" s="120">
        <v>-9999</v>
      </c>
      <c r="AF869" s="120">
        <v>-9999</v>
      </c>
      <c r="AG869" s="120">
        <v>-9999</v>
      </c>
    </row>
    <row r="870" spans="1:33" x14ac:dyDescent="0.25">
      <c r="A870" s="120">
        <v>869</v>
      </c>
      <c r="B870" s="120" t="b">
        <v>0</v>
      </c>
      <c r="C870" s="120">
        <v>0</v>
      </c>
      <c r="D870" s="61">
        <v>3</v>
      </c>
      <c r="E870" s="120">
        <v>1</v>
      </c>
      <c r="F870" s="120" t="s">
        <v>175</v>
      </c>
      <c r="G870" s="55">
        <v>75</v>
      </c>
      <c r="H870" s="120">
        <v>291</v>
      </c>
      <c r="I870" s="57">
        <v>125</v>
      </c>
      <c r="J870" s="120">
        <v>135</v>
      </c>
      <c r="K870" s="120">
        <v>4</v>
      </c>
      <c r="L870" s="120">
        <v>100</v>
      </c>
      <c r="M870" s="120">
        <v>-9999</v>
      </c>
      <c r="N870" s="120">
        <v>-9999</v>
      </c>
      <c r="O870" s="120">
        <v>2</v>
      </c>
      <c r="P870" s="120">
        <v>-9999</v>
      </c>
      <c r="Q870" s="120">
        <v>78.800003051757798</v>
      </c>
      <c r="R870" s="120">
        <v>64.099998474121094</v>
      </c>
      <c r="S870" s="148">
        <v>22</v>
      </c>
      <c r="T870" s="120">
        <v>-9999</v>
      </c>
      <c r="U870" s="120">
        <v>19</v>
      </c>
      <c r="V870" s="120">
        <v>-9999</v>
      </c>
      <c r="W870" s="120">
        <v>-9999</v>
      </c>
      <c r="X870" s="120">
        <v>-9999</v>
      </c>
      <c r="Y870" s="120">
        <v>-9999</v>
      </c>
      <c r="Z870" s="120">
        <v>-9999</v>
      </c>
      <c r="AA870" s="120">
        <v>68</v>
      </c>
      <c r="AB870" s="120">
        <v>14.5</v>
      </c>
      <c r="AC870" s="120">
        <v>869</v>
      </c>
      <c r="AD870" s="120">
        <v>2141</v>
      </c>
      <c r="AE870" s="120">
        <v>-9999</v>
      </c>
      <c r="AF870" s="120">
        <v>-9999</v>
      </c>
      <c r="AG870" s="120">
        <v>-9999</v>
      </c>
    </row>
    <row r="871" spans="1:33" x14ac:dyDescent="0.25">
      <c r="A871" s="120">
        <v>870</v>
      </c>
      <c r="B871" s="120" t="b">
        <v>0</v>
      </c>
      <c r="C871" s="120">
        <v>0</v>
      </c>
      <c r="D871" s="61">
        <v>3</v>
      </c>
      <c r="E871" s="120">
        <v>1</v>
      </c>
      <c r="F871" s="120" t="s">
        <v>175</v>
      </c>
      <c r="G871" s="55">
        <v>75</v>
      </c>
      <c r="H871" s="120">
        <v>276</v>
      </c>
      <c r="I871" s="57">
        <v>135</v>
      </c>
      <c r="J871" s="120">
        <v>145</v>
      </c>
      <c r="K871" s="120">
        <v>4</v>
      </c>
      <c r="L871" s="120">
        <v>100</v>
      </c>
      <c r="M871" s="120">
        <v>-9999</v>
      </c>
      <c r="N871" s="120">
        <v>-9999</v>
      </c>
      <c r="O871" s="120">
        <v>2</v>
      </c>
      <c r="P871" s="120">
        <v>-9999</v>
      </c>
      <c r="Q871" s="120">
        <v>78.800003051757798</v>
      </c>
      <c r="R871" s="120">
        <v>64.099998474121094</v>
      </c>
      <c r="S871" s="148">
        <v>23.200000762939499</v>
      </c>
      <c r="T871" s="120">
        <v>-9999</v>
      </c>
      <c r="U871" s="120">
        <v>18</v>
      </c>
      <c r="V871" s="120">
        <v>-9999</v>
      </c>
      <c r="W871" s="120">
        <v>-9999</v>
      </c>
      <c r="X871" s="120">
        <v>-9999</v>
      </c>
      <c r="Y871" s="120">
        <v>-9999</v>
      </c>
      <c r="Z871" s="120">
        <v>-9999</v>
      </c>
      <c r="AA871" s="120">
        <v>68</v>
      </c>
      <c r="AB871" s="120">
        <v>14.5</v>
      </c>
      <c r="AC871" s="120">
        <v>870</v>
      </c>
      <c r="AD871" s="120">
        <v>2142</v>
      </c>
      <c r="AE871" s="120">
        <v>-9999</v>
      </c>
      <c r="AF871" s="120">
        <v>-9999</v>
      </c>
      <c r="AG871" s="120">
        <v>-9999</v>
      </c>
    </row>
    <row r="872" spans="1:33" x14ac:dyDescent="0.25">
      <c r="A872" s="120">
        <v>871</v>
      </c>
      <c r="B872" s="120" t="b">
        <v>0</v>
      </c>
      <c r="C872" s="120">
        <v>0</v>
      </c>
      <c r="D872" s="61">
        <v>3</v>
      </c>
      <c r="E872" s="120">
        <v>1</v>
      </c>
      <c r="F872" s="120" t="s">
        <v>175</v>
      </c>
      <c r="G872" s="55">
        <v>75</v>
      </c>
      <c r="H872" s="120">
        <v>259</v>
      </c>
      <c r="I872" s="57">
        <v>150</v>
      </c>
      <c r="J872" s="120">
        <v>160</v>
      </c>
      <c r="K872" s="120">
        <v>4</v>
      </c>
      <c r="L872" s="120">
        <v>100</v>
      </c>
      <c r="M872" s="120">
        <v>-9999</v>
      </c>
      <c r="N872" s="120">
        <v>-9999</v>
      </c>
      <c r="O872" s="120">
        <v>2</v>
      </c>
      <c r="P872" s="120">
        <v>-9999</v>
      </c>
      <c r="Q872" s="120">
        <v>78.800003051757798</v>
      </c>
      <c r="R872" s="120">
        <v>64.099998474121094</v>
      </c>
      <c r="S872" s="148">
        <v>24.799999237060501</v>
      </c>
      <c r="T872" s="120">
        <v>-9999</v>
      </c>
      <c r="U872" s="120">
        <v>17</v>
      </c>
      <c r="V872" s="120">
        <v>-9999</v>
      </c>
      <c r="W872" s="120">
        <v>-9999</v>
      </c>
      <c r="X872" s="120">
        <v>-9999</v>
      </c>
      <c r="Y872" s="120">
        <v>-9999</v>
      </c>
      <c r="Z872" s="120">
        <v>-9999</v>
      </c>
      <c r="AA872" s="120">
        <v>68</v>
      </c>
      <c r="AB872" s="120">
        <v>14.5</v>
      </c>
      <c r="AC872" s="120">
        <v>871</v>
      </c>
      <c r="AD872" s="120">
        <v>2143</v>
      </c>
      <c r="AE872" s="120">
        <v>-9999</v>
      </c>
      <c r="AF872" s="120">
        <v>-9999</v>
      </c>
      <c r="AG872" s="120">
        <v>-9999</v>
      </c>
    </row>
    <row r="873" spans="1:33" x14ac:dyDescent="0.25">
      <c r="A873" s="120">
        <v>872</v>
      </c>
      <c r="B873" s="120" t="b">
        <v>0</v>
      </c>
      <c r="C873" s="120">
        <v>0</v>
      </c>
      <c r="D873" s="61">
        <v>3</v>
      </c>
      <c r="E873" s="120">
        <v>1</v>
      </c>
      <c r="F873" s="120" t="s">
        <v>176</v>
      </c>
      <c r="G873" s="55">
        <v>100</v>
      </c>
      <c r="H873" s="120">
        <v>523</v>
      </c>
      <c r="I873" s="57">
        <v>75</v>
      </c>
      <c r="J873" s="120">
        <v>85</v>
      </c>
      <c r="K873" s="120">
        <v>4</v>
      </c>
      <c r="L873" s="120">
        <v>100</v>
      </c>
      <c r="M873" s="120">
        <v>-9999</v>
      </c>
      <c r="N873" s="120">
        <v>-9999</v>
      </c>
      <c r="O873" s="120">
        <v>2</v>
      </c>
      <c r="P873" s="120">
        <v>-9999</v>
      </c>
      <c r="Q873" s="120">
        <v>102</v>
      </c>
      <c r="R873" s="120">
        <v>83</v>
      </c>
      <c r="S873" s="148">
        <v>15.8999996185303</v>
      </c>
      <c r="T873" s="120">
        <v>-9999</v>
      </c>
      <c r="U873" s="120">
        <v>23</v>
      </c>
      <c r="V873" s="120">
        <v>-9999</v>
      </c>
      <c r="W873" s="120">
        <v>-9999</v>
      </c>
      <c r="X873" s="120">
        <v>-9999</v>
      </c>
      <c r="Y873" s="120">
        <v>-9999</v>
      </c>
      <c r="Z873" s="120">
        <v>-9999</v>
      </c>
      <c r="AA873" s="120">
        <v>68</v>
      </c>
      <c r="AB873" s="120">
        <v>14.5</v>
      </c>
      <c r="AC873" s="120">
        <v>872</v>
      </c>
      <c r="AD873" s="120">
        <v>2144</v>
      </c>
      <c r="AE873" s="120">
        <v>-9999</v>
      </c>
      <c r="AF873" s="120">
        <v>-9999</v>
      </c>
      <c r="AG873" s="120">
        <v>-9999</v>
      </c>
    </row>
    <row r="874" spans="1:33" x14ac:dyDescent="0.25">
      <c r="A874" s="120">
        <v>873</v>
      </c>
      <c r="B874" s="120" t="b">
        <v>0</v>
      </c>
      <c r="C874" s="120">
        <v>0</v>
      </c>
      <c r="D874" s="61">
        <v>3</v>
      </c>
      <c r="E874" s="120">
        <v>1</v>
      </c>
      <c r="F874" s="120" t="s">
        <v>176</v>
      </c>
      <c r="G874" s="55">
        <v>100</v>
      </c>
      <c r="H874" s="120">
        <v>464</v>
      </c>
      <c r="I874" s="57">
        <v>100</v>
      </c>
      <c r="J874" s="120">
        <v>110</v>
      </c>
      <c r="K874" s="120">
        <v>4</v>
      </c>
      <c r="L874" s="120">
        <v>100</v>
      </c>
      <c r="M874" s="120">
        <v>-9999</v>
      </c>
      <c r="N874" s="120">
        <v>-9999</v>
      </c>
      <c r="O874" s="120">
        <v>2</v>
      </c>
      <c r="P874" s="120">
        <v>-9999</v>
      </c>
      <c r="Q874" s="120">
        <v>105</v>
      </c>
      <c r="R874" s="120">
        <v>85.400001525878906</v>
      </c>
      <c r="S874" s="148">
        <v>18.399999618530298</v>
      </c>
      <c r="T874" s="120">
        <v>-9999</v>
      </c>
      <c r="U874" s="120">
        <v>20</v>
      </c>
      <c r="V874" s="120">
        <v>-9999</v>
      </c>
      <c r="W874" s="120">
        <v>-9999</v>
      </c>
      <c r="X874" s="120">
        <v>-9999</v>
      </c>
      <c r="Y874" s="120">
        <v>-9999</v>
      </c>
      <c r="Z874" s="120">
        <v>-9999</v>
      </c>
      <c r="AA874" s="120">
        <v>68</v>
      </c>
      <c r="AB874" s="120">
        <v>14.5</v>
      </c>
      <c r="AC874" s="120">
        <v>873</v>
      </c>
      <c r="AD874" s="120">
        <v>2145</v>
      </c>
      <c r="AE874" s="120">
        <v>-9999</v>
      </c>
      <c r="AF874" s="120">
        <v>-9999</v>
      </c>
      <c r="AG874" s="120">
        <v>-9999</v>
      </c>
    </row>
    <row r="875" spans="1:33" x14ac:dyDescent="0.25">
      <c r="A875" s="120">
        <v>874</v>
      </c>
      <c r="B875" s="120" t="b">
        <v>0</v>
      </c>
      <c r="C875" s="120">
        <v>0</v>
      </c>
      <c r="D875" s="61">
        <v>3</v>
      </c>
      <c r="E875" s="120">
        <v>1</v>
      </c>
      <c r="F875" s="120" t="s">
        <v>176</v>
      </c>
      <c r="G875" s="55">
        <v>100</v>
      </c>
      <c r="H875" s="120">
        <v>443</v>
      </c>
      <c r="I875" s="57">
        <v>110</v>
      </c>
      <c r="J875" s="120">
        <v>120</v>
      </c>
      <c r="K875" s="120">
        <v>4</v>
      </c>
      <c r="L875" s="120">
        <v>100</v>
      </c>
      <c r="M875" s="120">
        <v>-9999</v>
      </c>
      <c r="N875" s="120">
        <v>-9999</v>
      </c>
      <c r="O875" s="120">
        <v>2</v>
      </c>
      <c r="P875" s="120">
        <v>-9999</v>
      </c>
      <c r="Q875" s="120">
        <v>105</v>
      </c>
      <c r="R875" s="120">
        <v>85.400001525878906</v>
      </c>
      <c r="S875" s="148">
        <v>19.299999237060501</v>
      </c>
      <c r="T875" s="120">
        <v>-9999</v>
      </c>
      <c r="U875" s="120">
        <v>19</v>
      </c>
      <c r="V875" s="120">
        <v>-9999</v>
      </c>
      <c r="W875" s="120">
        <v>-9999</v>
      </c>
      <c r="X875" s="120">
        <v>-9999</v>
      </c>
      <c r="Y875" s="120">
        <v>-9999</v>
      </c>
      <c r="Z875" s="120">
        <v>-9999</v>
      </c>
      <c r="AA875" s="120">
        <v>68</v>
      </c>
      <c r="AB875" s="120">
        <v>14.5</v>
      </c>
      <c r="AC875" s="120">
        <v>874</v>
      </c>
      <c r="AD875" s="120">
        <v>2146</v>
      </c>
      <c r="AE875" s="120">
        <v>-9999</v>
      </c>
      <c r="AF875" s="120">
        <v>-9999</v>
      </c>
      <c r="AG875" s="120">
        <v>-9999</v>
      </c>
    </row>
    <row r="876" spans="1:33" x14ac:dyDescent="0.25">
      <c r="A876" s="120">
        <v>875</v>
      </c>
      <c r="B876" s="120" t="b">
        <v>0</v>
      </c>
      <c r="C876" s="120">
        <v>0</v>
      </c>
      <c r="D876" s="61">
        <v>3</v>
      </c>
      <c r="E876" s="120">
        <v>1</v>
      </c>
      <c r="F876" s="120" t="s">
        <v>176</v>
      </c>
      <c r="G876" s="55">
        <v>100</v>
      </c>
      <c r="H876" s="120">
        <v>431</v>
      </c>
      <c r="I876" s="57">
        <v>115</v>
      </c>
      <c r="J876" s="120">
        <v>125</v>
      </c>
      <c r="K876" s="120">
        <v>4</v>
      </c>
      <c r="L876" s="120">
        <v>100</v>
      </c>
      <c r="M876" s="120">
        <v>-9999</v>
      </c>
      <c r="N876" s="120">
        <v>-9999</v>
      </c>
      <c r="O876" s="120">
        <v>2</v>
      </c>
      <c r="P876" s="120">
        <v>-9999</v>
      </c>
      <c r="Q876" s="120">
        <v>105</v>
      </c>
      <c r="R876" s="120">
        <v>85.400001525878906</v>
      </c>
      <c r="S876" s="148">
        <v>19.799999237060501</v>
      </c>
      <c r="T876" s="120">
        <v>-9999</v>
      </c>
      <c r="U876" s="120">
        <v>19</v>
      </c>
      <c r="V876" s="120">
        <v>-9999</v>
      </c>
      <c r="W876" s="120">
        <v>-9999</v>
      </c>
      <c r="X876" s="120">
        <v>-9999</v>
      </c>
      <c r="Y876" s="120">
        <v>-9999</v>
      </c>
      <c r="Z876" s="120">
        <v>-9999</v>
      </c>
      <c r="AA876" s="120">
        <v>68</v>
      </c>
      <c r="AB876" s="120">
        <v>14.5</v>
      </c>
      <c r="AC876" s="120">
        <v>875</v>
      </c>
      <c r="AD876" s="120">
        <v>2147</v>
      </c>
      <c r="AE876" s="120">
        <v>-9999</v>
      </c>
      <c r="AF876" s="120">
        <v>-9999</v>
      </c>
      <c r="AG876" s="120">
        <v>-9999</v>
      </c>
    </row>
    <row r="877" spans="1:33" x14ac:dyDescent="0.25">
      <c r="A877" s="120">
        <v>876</v>
      </c>
      <c r="B877" s="120" t="b">
        <v>0</v>
      </c>
      <c r="C877" s="120">
        <v>0</v>
      </c>
      <c r="D877" s="61">
        <v>3</v>
      </c>
      <c r="E877" s="120">
        <v>1</v>
      </c>
      <c r="F877" s="120" t="s">
        <v>176</v>
      </c>
      <c r="G877" s="55">
        <v>100</v>
      </c>
      <c r="H877" s="120">
        <v>417</v>
      </c>
      <c r="I877" s="57">
        <v>125</v>
      </c>
      <c r="J877" s="120">
        <v>135</v>
      </c>
      <c r="K877" s="120">
        <v>4</v>
      </c>
      <c r="L877" s="120">
        <v>100</v>
      </c>
      <c r="M877" s="120">
        <v>-9999</v>
      </c>
      <c r="N877" s="120">
        <v>-9999</v>
      </c>
      <c r="O877" s="120">
        <v>2</v>
      </c>
      <c r="P877" s="120">
        <v>-9999</v>
      </c>
      <c r="Q877" s="120">
        <v>105</v>
      </c>
      <c r="R877" s="120">
        <v>85.400001525878906</v>
      </c>
      <c r="S877" s="148">
        <v>20.5</v>
      </c>
      <c r="T877" s="120">
        <v>-9999</v>
      </c>
      <c r="U877" s="120">
        <v>18</v>
      </c>
      <c r="V877" s="120">
        <v>-9999</v>
      </c>
      <c r="W877" s="120">
        <v>-9999</v>
      </c>
      <c r="X877" s="120">
        <v>-9999</v>
      </c>
      <c r="Y877" s="120">
        <v>-9999</v>
      </c>
      <c r="Z877" s="120">
        <v>-9999</v>
      </c>
      <c r="AA877" s="120">
        <v>68</v>
      </c>
      <c r="AB877" s="120">
        <v>14.5</v>
      </c>
      <c r="AC877" s="120">
        <v>876</v>
      </c>
      <c r="AD877" s="120">
        <v>2148</v>
      </c>
      <c r="AE877" s="120">
        <v>-9999</v>
      </c>
      <c r="AF877" s="120">
        <v>-9999</v>
      </c>
      <c r="AG877" s="120">
        <v>-9999</v>
      </c>
    </row>
    <row r="878" spans="1:33" x14ac:dyDescent="0.25">
      <c r="A878" s="120">
        <v>877</v>
      </c>
      <c r="B878" s="120" t="b">
        <v>0</v>
      </c>
      <c r="C878" s="120">
        <v>0</v>
      </c>
      <c r="D878" s="61">
        <v>3</v>
      </c>
      <c r="E878" s="120">
        <v>1</v>
      </c>
      <c r="F878" s="120" t="s">
        <v>176</v>
      </c>
      <c r="G878" s="55">
        <v>100</v>
      </c>
      <c r="H878" s="120">
        <v>390</v>
      </c>
      <c r="I878" s="57">
        <v>135</v>
      </c>
      <c r="J878" s="120">
        <v>145</v>
      </c>
      <c r="K878" s="120">
        <v>4</v>
      </c>
      <c r="L878" s="120">
        <v>100</v>
      </c>
      <c r="M878" s="120">
        <v>-9999</v>
      </c>
      <c r="N878" s="120">
        <v>-9999</v>
      </c>
      <c r="O878" s="120">
        <v>2</v>
      </c>
      <c r="P878" s="120">
        <v>-9999</v>
      </c>
      <c r="Q878" s="120">
        <v>105</v>
      </c>
      <c r="R878" s="120">
        <v>85.400001525878906</v>
      </c>
      <c r="S878" s="148">
        <v>21.899999618530298</v>
      </c>
      <c r="T878" s="120">
        <v>-9999</v>
      </c>
      <c r="U878" s="120">
        <v>17</v>
      </c>
      <c r="V878" s="120">
        <v>-9999</v>
      </c>
      <c r="W878" s="120">
        <v>-9999</v>
      </c>
      <c r="X878" s="120">
        <v>-9999</v>
      </c>
      <c r="Y878" s="120">
        <v>-9999</v>
      </c>
      <c r="Z878" s="120">
        <v>-9999</v>
      </c>
      <c r="AA878" s="120">
        <v>68</v>
      </c>
      <c r="AB878" s="120">
        <v>14.5</v>
      </c>
      <c r="AC878" s="120">
        <v>877</v>
      </c>
      <c r="AD878" s="120">
        <v>2149</v>
      </c>
      <c r="AE878" s="120">
        <v>-9999</v>
      </c>
      <c r="AF878" s="120">
        <v>-9999</v>
      </c>
      <c r="AG878" s="120">
        <v>-9999</v>
      </c>
    </row>
    <row r="879" spans="1:33" x14ac:dyDescent="0.25">
      <c r="A879" s="120">
        <v>878</v>
      </c>
      <c r="B879" s="120" t="b">
        <v>0</v>
      </c>
      <c r="C879" s="120">
        <v>0</v>
      </c>
      <c r="D879" s="61">
        <v>3</v>
      </c>
      <c r="E879" s="120">
        <v>1</v>
      </c>
      <c r="F879" s="120" t="s">
        <v>176</v>
      </c>
      <c r="G879" s="55">
        <v>100</v>
      </c>
      <c r="H879" s="120">
        <v>384</v>
      </c>
      <c r="I879" s="57">
        <v>150</v>
      </c>
      <c r="J879" s="120">
        <v>160</v>
      </c>
      <c r="K879" s="120">
        <v>4</v>
      </c>
      <c r="L879" s="120">
        <v>100</v>
      </c>
      <c r="M879" s="120">
        <v>-9999</v>
      </c>
      <c r="N879" s="120">
        <v>-9999</v>
      </c>
      <c r="O879" s="120">
        <v>2</v>
      </c>
      <c r="P879" s="120">
        <v>-9999</v>
      </c>
      <c r="Q879" s="120">
        <v>105</v>
      </c>
      <c r="R879" s="120">
        <v>85.400001525878906</v>
      </c>
      <c r="S879" s="148">
        <v>22.200000762939499</v>
      </c>
      <c r="T879" s="120">
        <v>-9999</v>
      </c>
      <c r="U879" s="120">
        <v>15</v>
      </c>
      <c r="V879" s="120">
        <v>-9999</v>
      </c>
      <c r="W879" s="120">
        <v>-9999</v>
      </c>
      <c r="X879" s="120">
        <v>-9999</v>
      </c>
      <c r="Y879" s="120">
        <v>-9999</v>
      </c>
      <c r="Z879" s="120">
        <v>-9999</v>
      </c>
      <c r="AA879" s="120">
        <v>68</v>
      </c>
      <c r="AB879" s="120">
        <v>14.5</v>
      </c>
      <c r="AC879" s="120">
        <v>878</v>
      </c>
      <c r="AD879" s="120">
        <v>2150</v>
      </c>
      <c r="AE879" s="120">
        <v>-9999</v>
      </c>
      <c r="AF879" s="120">
        <v>-9999</v>
      </c>
      <c r="AG879" s="120">
        <v>-9999</v>
      </c>
    </row>
    <row r="880" spans="1:33" x14ac:dyDescent="0.25">
      <c r="A880" s="120">
        <v>879</v>
      </c>
      <c r="B880" s="120" t="b">
        <v>0</v>
      </c>
      <c r="C880" s="120">
        <v>0</v>
      </c>
      <c r="D880" s="61">
        <v>3</v>
      </c>
      <c r="E880" s="120">
        <v>1</v>
      </c>
      <c r="F880" s="120" t="s">
        <v>177</v>
      </c>
      <c r="G880" s="55">
        <v>125</v>
      </c>
      <c r="H880" s="120">
        <v>709</v>
      </c>
      <c r="I880" s="57">
        <v>75</v>
      </c>
      <c r="J880" s="120">
        <v>85</v>
      </c>
      <c r="K880" s="120">
        <v>4</v>
      </c>
      <c r="L880" s="120">
        <v>100</v>
      </c>
      <c r="M880" s="120">
        <v>-9999</v>
      </c>
      <c r="N880" s="120">
        <v>-9999</v>
      </c>
      <c r="O880" s="120">
        <v>2</v>
      </c>
      <c r="P880" s="120">
        <v>-9999</v>
      </c>
      <c r="Q880" s="120">
        <v>127.5</v>
      </c>
      <c r="R880" s="120">
        <v>102.90000152587901</v>
      </c>
      <c r="S880" s="148">
        <v>14.5</v>
      </c>
      <c r="T880" s="120">
        <v>-9999</v>
      </c>
      <c r="U880" s="120">
        <v>22</v>
      </c>
      <c r="V880" s="120">
        <v>-9999</v>
      </c>
      <c r="W880" s="120">
        <v>-9999</v>
      </c>
      <c r="X880" s="120">
        <v>-9999</v>
      </c>
      <c r="Y880" s="120">
        <v>-9999</v>
      </c>
      <c r="Z880" s="120">
        <v>-9999</v>
      </c>
      <c r="AA880" s="120">
        <v>68</v>
      </c>
      <c r="AB880" s="120">
        <v>14.5</v>
      </c>
      <c r="AC880" s="120">
        <v>879</v>
      </c>
      <c r="AD880" s="120">
        <v>2151</v>
      </c>
      <c r="AE880" s="120">
        <v>-9999</v>
      </c>
      <c r="AF880" s="120">
        <v>-9999</v>
      </c>
      <c r="AG880" s="120">
        <v>-9999</v>
      </c>
    </row>
    <row r="881" spans="1:33" x14ac:dyDescent="0.25">
      <c r="A881" s="120">
        <v>880</v>
      </c>
      <c r="B881" s="120" t="b">
        <v>0</v>
      </c>
      <c r="C881" s="120">
        <v>0</v>
      </c>
      <c r="D881" s="61">
        <v>3</v>
      </c>
      <c r="E881" s="120">
        <v>1</v>
      </c>
      <c r="F881" s="120" t="s">
        <v>177</v>
      </c>
      <c r="G881" s="55">
        <v>125</v>
      </c>
      <c r="H881" s="120">
        <v>622</v>
      </c>
      <c r="I881" s="57">
        <v>100</v>
      </c>
      <c r="J881" s="120">
        <v>110</v>
      </c>
      <c r="K881" s="120">
        <v>4</v>
      </c>
      <c r="L881" s="120">
        <v>100</v>
      </c>
      <c r="M881" s="120">
        <v>-9999</v>
      </c>
      <c r="N881" s="120">
        <v>-9999</v>
      </c>
      <c r="O881" s="120">
        <v>2</v>
      </c>
      <c r="P881" s="120">
        <v>-9999</v>
      </c>
      <c r="Q881" s="120">
        <v>131.30000305175801</v>
      </c>
      <c r="R881" s="120">
        <v>106</v>
      </c>
      <c r="S881" s="148">
        <v>17</v>
      </c>
      <c r="T881" s="120">
        <v>-9999</v>
      </c>
      <c r="U881" s="120">
        <v>19</v>
      </c>
      <c r="V881" s="120">
        <v>-9999</v>
      </c>
      <c r="W881" s="120">
        <v>-9999</v>
      </c>
      <c r="X881" s="120">
        <v>-9999</v>
      </c>
      <c r="Y881" s="120">
        <v>-9999</v>
      </c>
      <c r="Z881" s="120">
        <v>-9999</v>
      </c>
      <c r="AA881" s="120">
        <v>68</v>
      </c>
      <c r="AB881" s="120">
        <v>14.5</v>
      </c>
      <c r="AC881" s="120">
        <v>880</v>
      </c>
      <c r="AD881" s="120">
        <v>2152</v>
      </c>
      <c r="AE881" s="120">
        <v>-9999</v>
      </c>
      <c r="AF881" s="120">
        <v>-9999</v>
      </c>
      <c r="AG881" s="120">
        <v>-9999</v>
      </c>
    </row>
    <row r="882" spans="1:33" x14ac:dyDescent="0.25">
      <c r="A882" s="120">
        <v>881</v>
      </c>
      <c r="B882" s="120" t="b">
        <v>0</v>
      </c>
      <c r="C882" s="120">
        <v>0</v>
      </c>
      <c r="D882" s="61">
        <v>3</v>
      </c>
      <c r="E882" s="120">
        <v>1</v>
      </c>
      <c r="F882" s="120" t="s">
        <v>177</v>
      </c>
      <c r="G882" s="55">
        <v>125</v>
      </c>
      <c r="H882" s="120">
        <v>589</v>
      </c>
      <c r="I882" s="57">
        <v>110</v>
      </c>
      <c r="J882" s="120">
        <v>120</v>
      </c>
      <c r="K882" s="120">
        <v>4</v>
      </c>
      <c r="L882" s="120">
        <v>100</v>
      </c>
      <c r="M882" s="120">
        <v>-9999</v>
      </c>
      <c r="N882" s="120">
        <v>-9999</v>
      </c>
      <c r="O882" s="120">
        <v>2</v>
      </c>
      <c r="P882" s="120">
        <v>-9999</v>
      </c>
      <c r="Q882" s="120">
        <v>131.30000305175801</v>
      </c>
      <c r="R882" s="120">
        <v>106</v>
      </c>
      <c r="S882" s="148">
        <v>18</v>
      </c>
      <c r="T882" s="120">
        <v>-9999</v>
      </c>
      <c r="U882" s="120">
        <v>18</v>
      </c>
      <c r="V882" s="120">
        <v>-9999</v>
      </c>
      <c r="W882" s="120">
        <v>-9999</v>
      </c>
      <c r="X882" s="120">
        <v>-9999</v>
      </c>
      <c r="Y882" s="120">
        <v>-9999</v>
      </c>
      <c r="Z882" s="120">
        <v>-9999</v>
      </c>
      <c r="AA882" s="120">
        <v>68</v>
      </c>
      <c r="AB882" s="120">
        <v>14.5</v>
      </c>
      <c r="AC882" s="120">
        <v>881</v>
      </c>
      <c r="AD882" s="120">
        <v>2153</v>
      </c>
      <c r="AE882" s="120">
        <v>-9999</v>
      </c>
      <c r="AF882" s="120">
        <v>-9999</v>
      </c>
      <c r="AG882" s="120">
        <v>-9999</v>
      </c>
    </row>
    <row r="883" spans="1:33" x14ac:dyDescent="0.25">
      <c r="A883" s="120">
        <v>882</v>
      </c>
      <c r="B883" s="120" t="b">
        <v>0</v>
      </c>
      <c r="C883" s="120">
        <v>0</v>
      </c>
      <c r="D883" s="61">
        <v>3</v>
      </c>
      <c r="E883" s="120">
        <v>1</v>
      </c>
      <c r="F883" s="120" t="s">
        <v>177</v>
      </c>
      <c r="G883" s="55">
        <v>125</v>
      </c>
      <c r="H883" s="120">
        <v>573</v>
      </c>
      <c r="I883" s="57">
        <v>115</v>
      </c>
      <c r="J883" s="120">
        <v>125</v>
      </c>
      <c r="K883" s="120">
        <v>4</v>
      </c>
      <c r="L883" s="120">
        <v>100</v>
      </c>
      <c r="M883" s="120">
        <v>-9999</v>
      </c>
      <c r="N883" s="120">
        <v>-9999</v>
      </c>
      <c r="O883" s="120">
        <v>2</v>
      </c>
      <c r="P883" s="120">
        <v>-9999</v>
      </c>
      <c r="Q883" s="120">
        <v>131.30000305175801</v>
      </c>
      <c r="R883" s="120">
        <v>106</v>
      </c>
      <c r="S883" s="148">
        <v>18.5</v>
      </c>
      <c r="T883" s="120">
        <v>-9999</v>
      </c>
      <c r="U883" s="120">
        <v>18</v>
      </c>
      <c r="V883" s="120">
        <v>-9999</v>
      </c>
      <c r="W883" s="120">
        <v>-9999</v>
      </c>
      <c r="X883" s="120">
        <v>-9999</v>
      </c>
      <c r="Y883" s="120">
        <v>-9999</v>
      </c>
      <c r="Z883" s="120">
        <v>-9999</v>
      </c>
      <c r="AA883" s="120">
        <v>68</v>
      </c>
      <c r="AB883" s="120">
        <v>14.5</v>
      </c>
      <c r="AC883" s="120">
        <v>882</v>
      </c>
      <c r="AD883" s="120">
        <v>2154</v>
      </c>
      <c r="AE883" s="120">
        <v>-9999</v>
      </c>
      <c r="AF883" s="120">
        <v>-9999</v>
      </c>
      <c r="AG883" s="120">
        <v>-9999</v>
      </c>
    </row>
    <row r="884" spans="1:33" x14ac:dyDescent="0.25">
      <c r="A884" s="120">
        <v>883</v>
      </c>
      <c r="B884" s="120" t="b">
        <v>0</v>
      </c>
      <c r="C884" s="120">
        <v>0</v>
      </c>
      <c r="D884" s="61">
        <v>3</v>
      </c>
      <c r="E884" s="120">
        <v>1</v>
      </c>
      <c r="F884" s="120" t="s">
        <v>177</v>
      </c>
      <c r="G884" s="55">
        <v>125</v>
      </c>
      <c r="H884" s="120">
        <v>548</v>
      </c>
      <c r="I884" s="57">
        <v>125</v>
      </c>
      <c r="J884" s="120">
        <v>135</v>
      </c>
      <c r="K884" s="120">
        <v>4</v>
      </c>
      <c r="L884" s="120">
        <v>100</v>
      </c>
      <c r="M884" s="120">
        <v>-9999</v>
      </c>
      <c r="N884" s="120">
        <v>-9999</v>
      </c>
      <c r="O884" s="120">
        <v>2</v>
      </c>
      <c r="P884" s="120">
        <v>-9999</v>
      </c>
      <c r="Q884" s="120">
        <v>131.30000305175801</v>
      </c>
      <c r="R884" s="120">
        <v>106</v>
      </c>
      <c r="S884" s="148">
        <v>19.299999237060501</v>
      </c>
      <c r="T884" s="120">
        <v>-9999</v>
      </c>
      <c r="U884" s="120">
        <v>17</v>
      </c>
      <c r="V884" s="120">
        <v>-9999</v>
      </c>
      <c r="W884" s="120">
        <v>-9999</v>
      </c>
      <c r="X884" s="120">
        <v>-9999</v>
      </c>
      <c r="Y884" s="120">
        <v>-9999</v>
      </c>
      <c r="Z884" s="120">
        <v>-9999</v>
      </c>
      <c r="AA884" s="120">
        <v>68</v>
      </c>
      <c r="AB884" s="120">
        <v>14.5</v>
      </c>
      <c r="AC884" s="120">
        <v>883</v>
      </c>
      <c r="AD884" s="120">
        <v>2155</v>
      </c>
      <c r="AE884" s="120">
        <v>-9999</v>
      </c>
      <c r="AF884" s="120">
        <v>-9999</v>
      </c>
      <c r="AG884" s="120">
        <v>-9999</v>
      </c>
    </row>
    <row r="885" spans="1:33" x14ac:dyDescent="0.25">
      <c r="A885" s="120">
        <v>884</v>
      </c>
      <c r="B885" s="120" t="b">
        <v>0</v>
      </c>
      <c r="C885" s="120">
        <v>0</v>
      </c>
      <c r="D885" s="61">
        <v>3</v>
      </c>
      <c r="E885" s="120">
        <v>1</v>
      </c>
      <c r="F885" s="120" t="s">
        <v>177</v>
      </c>
      <c r="G885" s="55">
        <v>125</v>
      </c>
      <c r="H885" s="120">
        <v>522</v>
      </c>
      <c r="I885" s="57">
        <v>135</v>
      </c>
      <c r="J885" s="120">
        <v>145</v>
      </c>
      <c r="K885" s="120">
        <v>4</v>
      </c>
      <c r="L885" s="120">
        <v>100</v>
      </c>
      <c r="M885" s="120">
        <v>-9999</v>
      </c>
      <c r="N885" s="120">
        <v>-9999</v>
      </c>
      <c r="O885" s="120">
        <v>2</v>
      </c>
      <c r="P885" s="120">
        <v>-9999</v>
      </c>
      <c r="Q885" s="120">
        <v>131.30000305175801</v>
      </c>
      <c r="R885" s="120">
        <v>106</v>
      </c>
      <c r="S885" s="148">
        <v>20.299999237060501</v>
      </c>
      <c r="T885" s="120">
        <v>-9999</v>
      </c>
      <c r="U885" s="120">
        <v>16</v>
      </c>
      <c r="V885" s="120">
        <v>-9999</v>
      </c>
      <c r="W885" s="120">
        <v>-9999</v>
      </c>
      <c r="X885" s="120">
        <v>-9999</v>
      </c>
      <c r="Y885" s="120">
        <v>-9999</v>
      </c>
      <c r="Z885" s="120">
        <v>-9999</v>
      </c>
      <c r="AA885" s="120">
        <v>68</v>
      </c>
      <c r="AB885" s="120">
        <v>14.5</v>
      </c>
      <c r="AC885" s="120">
        <v>884</v>
      </c>
      <c r="AD885" s="120">
        <v>2156</v>
      </c>
      <c r="AE885" s="120">
        <v>-9999</v>
      </c>
      <c r="AF885" s="120">
        <v>-9999</v>
      </c>
      <c r="AG885" s="120">
        <v>-9999</v>
      </c>
    </row>
    <row r="886" spans="1:33" x14ac:dyDescent="0.25">
      <c r="A886" s="120">
        <v>885</v>
      </c>
      <c r="B886" s="120" t="b">
        <v>0</v>
      </c>
      <c r="C886" s="120">
        <v>0</v>
      </c>
      <c r="D886" s="61">
        <v>3</v>
      </c>
      <c r="E886" s="120">
        <v>1</v>
      </c>
      <c r="F886" s="120" t="s">
        <v>177</v>
      </c>
      <c r="G886" s="55">
        <v>125</v>
      </c>
      <c r="H886" s="120">
        <v>482</v>
      </c>
      <c r="I886" s="57">
        <v>150</v>
      </c>
      <c r="J886" s="120">
        <v>160</v>
      </c>
      <c r="K886" s="120">
        <v>4</v>
      </c>
      <c r="L886" s="120">
        <v>100</v>
      </c>
      <c r="M886" s="120">
        <v>-9999</v>
      </c>
      <c r="N886" s="120">
        <v>-9999</v>
      </c>
      <c r="O886" s="120">
        <v>2</v>
      </c>
      <c r="P886" s="120">
        <v>-9999</v>
      </c>
      <c r="Q886" s="120">
        <v>131.30000305175801</v>
      </c>
      <c r="R886" s="120">
        <v>106</v>
      </c>
      <c r="S886" s="148">
        <v>22</v>
      </c>
      <c r="T886" s="120">
        <v>-9999</v>
      </c>
      <c r="U886" s="120">
        <v>15</v>
      </c>
      <c r="V886" s="120">
        <v>-9999</v>
      </c>
      <c r="W886" s="120">
        <v>-9999</v>
      </c>
      <c r="X886" s="120">
        <v>-9999</v>
      </c>
      <c r="Y886" s="120">
        <v>-9999</v>
      </c>
      <c r="Z886" s="120">
        <v>-9999</v>
      </c>
      <c r="AA886" s="120">
        <v>68</v>
      </c>
      <c r="AB886" s="120">
        <v>14.5</v>
      </c>
      <c r="AC886" s="120">
        <v>885</v>
      </c>
      <c r="AD886" s="120">
        <v>2157</v>
      </c>
      <c r="AE886" s="120">
        <v>-9999</v>
      </c>
      <c r="AF886" s="120">
        <v>-9999</v>
      </c>
      <c r="AG886" s="120">
        <v>-9999</v>
      </c>
    </row>
    <row r="887" spans="1:33" x14ac:dyDescent="0.25">
      <c r="A887" s="120">
        <v>886</v>
      </c>
      <c r="B887" s="120" t="b">
        <v>0</v>
      </c>
      <c r="C887" s="120">
        <v>0</v>
      </c>
      <c r="D887" s="61">
        <v>3</v>
      </c>
      <c r="E887" s="120">
        <v>1</v>
      </c>
      <c r="F887" s="120" t="s">
        <v>178</v>
      </c>
      <c r="G887" s="55">
        <v>150</v>
      </c>
      <c r="H887" s="120">
        <v>841</v>
      </c>
      <c r="I887" s="57">
        <v>75</v>
      </c>
      <c r="J887" s="120">
        <v>85</v>
      </c>
      <c r="K887" s="120">
        <v>4</v>
      </c>
      <c r="L887" s="120">
        <v>100</v>
      </c>
      <c r="M887" s="120">
        <v>-9999</v>
      </c>
      <c r="N887" s="120">
        <v>-9999</v>
      </c>
      <c r="O887" s="120">
        <v>2</v>
      </c>
      <c r="P887" s="120">
        <v>-9999</v>
      </c>
      <c r="Q887" s="120">
        <v>153</v>
      </c>
      <c r="R887" s="120">
        <v>122.699996948242</v>
      </c>
      <c r="S887" s="148">
        <v>14.6000003814697</v>
      </c>
      <c r="T887" s="120">
        <v>-9999</v>
      </c>
      <c r="U887" s="120">
        <v>24</v>
      </c>
      <c r="V887" s="120">
        <v>-9999</v>
      </c>
      <c r="W887" s="120">
        <v>-9999</v>
      </c>
      <c r="X887" s="120">
        <v>-9999</v>
      </c>
      <c r="Y887" s="120">
        <v>-9999</v>
      </c>
      <c r="Z887" s="120">
        <v>-9999</v>
      </c>
      <c r="AA887" s="120">
        <v>68</v>
      </c>
      <c r="AB887" s="120">
        <v>14.5</v>
      </c>
      <c r="AC887" s="120">
        <v>886</v>
      </c>
      <c r="AD887" s="120">
        <v>2158</v>
      </c>
      <c r="AE887" s="120">
        <v>-9999</v>
      </c>
      <c r="AF887" s="120">
        <v>-9999</v>
      </c>
      <c r="AG887" s="120">
        <v>-9999</v>
      </c>
    </row>
    <row r="888" spans="1:33" x14ac:dyDescent="0.25">
      <c r="A888" s="120">
        <v>887</v>
      </c>
      <c r="B888" s="120" t="b">
        <v>0</v>
      </c>
      <c r="C888" s="120">
        <v>0</v>
      </c>
      <c r="D888" s="61">
        <v>3</v>
      </c>
      <c r="E888" s="120">
        <v>1</v>
      </c>
      <c r="F888" s="120" t="s">
        <v>178</v>
      </c>
      <c r="G888" s="55">
        <v>150</v>
      </c>
      <c r="H888" s="120">
        <v>749</v>
      </c>
      <c r="I888" s="57">
        <v>100</v>
      </c>
      <c r="J888" s="120">
        <v>110</v>
      </c>
      <c r="K888" s="120">
        <v>4</v>
      </c>
      <c r="L888" s="120">
        <v>100</v>
      </c>
      <c r="M888" s="120">
        <v>-9999</v>
      </c>
      <c r="N888" s="120">
        <v>-9999</v>
      </c>
      <c r="O888" s="120">
        <v>2</v>
      </c>
      <c r="P888" s="120">
        <v>-9999</v>
      </c>
      <c r="Q888" s="120">
        <v>157.5</v>
      </c>
      <c r="R888" s="120">
        <v>126.300003051758</v>
      </c>
      <c r="S888" s="148">
        <v>16.899999618530298</v>
      </c>
      <c r="T888" s="120">
        <v>-9999</v>
      </c>
      <c r="U888" s="120">
        <v>21</v>
      </c>
      <c r="V888" s="120">
        <v>-9999</v>
      </c>
      <c r="W888" s="120">
        <v>-9999</v>
      </c>
      <c r="X888" s="120">
        <v>-9999</v>
      </c>
      <c r="Y888" s="120">
        <v>-9999</v>
      </c>
      <c r="Z888" s="120">
        <v>-9999</v>
      </c>
      <c r="AA888" s="120">
        <v>68</v>
      </c>
      <c r="AB888" s="120">
        <v>14.5</v>
      </c>
      <c r="AC888" s="120">
        <v>887</v>
      </c>
      <c r="AD888" s="120">
        <v>2159</v>
      </c>
      <c r="AE888" s="120">
        <v>-9999</v>
      </c>
      <c r="AF888" s="120">
        <v>-9999</v>
      </c>
      <c r="AG888" s="120">
        <v>-9999</v>
      </c>
    </row>
    <row r="889" spans="1:33" x14ac:dyDescent="0.25">
      <c r="A889" s="120">
        <v>888</v>
      </c>
      <c r="B889" s="120" t="b">
        <v>0</v>
      </c>
      <c r="C889" s="120">
        <v>0</v>
      </c>
      <c r="D889" s="61">
        <v>3</v>
      </c>
      <c r="E889" s="120">
        <v>1</v>
      </c>
      <c r="F889" s="120" t="s">
        <v>178</v>
      </c>
      <c r="G889" s="55">
        <v>150</v>
      </c>
      <c r="H889" s="120">
        <v>710</v>
      </c>
      <c r="I889" s="57">
        <v>110</v>
      </c>
      <c r="J889" s="120">
        <v>120</v>
      </c>
      <c r="K889" s="120">
        <v>4</v>
      </c>
      <c r="L889" s="120">
        <v>100</v>
      </c>
      <c r="M889" s="120">
        <v>-9999</v>
      </c>
      <c r="N889" s="120">
        <v>-9999</v>
      </c>
      <c r="O889" s="120">
        <v>2</v>
      </c>
      <c r="P889" s="120">
        <v>-9999</v>
      </c>
      <c r="Q889" s="120">
        <v>157.5</v>
      </c>
      <c r="R889" s="120">
        <v>126.300003051758</v>
      </c>
      <c r="S889" s="148">
        <v>17.799999237060501</v>
      </c>
      <c r="T889" s="120">
        <v>-9999</v>
      </c>
      <c r="U889" s="120">
        <v>20</v>
      </c>
      <c r="V889" s="120">
        <v>-9999</v>
      </c>
      <c r="W889" s="120">
        <v>-9999</v>
      </c>
      <c r="X889" s="120">
        <v>-9999</v>
      </c>
      <c r="Y889" s="120">
        <v>-9999</v>
      </c>
      <c r="Z889" s="120">
        <v>-9999</v>
      </c>
      <c r="AA889" s="120">
        <v>68</v>
      </c>
      <c r="AB889" s="120">
        <v>14.5</v>
      </c>
      <c r="AC889" s="120">
        <v>888</v>
      </c>
      <c r="AD889" s="120">
        <v>2160</v>
      </c>
      <c r="AE889" s="120">
        <v>-9999</v>
      </c>
      <c r="AF889" s="120">
        <v>-9999</v>
      </c>
      <c r="AG889" s="120">
        <v>-9999</v>
      </c>
    </row>
    <row r="890" spans="1:33" x14ac:dyDescent="0.25">
      <c r="A890" s="120">
        <v>889</v>
      </c>
      <c r="B890" s="120" t="b">
        <v>0</v>
      </c>
      <c r="C890" s="120">
        <v>0</v>
      </c>
      <c r="D890" s="61">
        <v>3</v>
      </c>
      <c r="E890" s="120">
        <v>1</v>
      </c>
      <c r="F890" s="120" t="s">
        <v>178</v>
      </c>
      <c r="G890" s="55">
        <v>150</v>
      </c>
      <c r="H890" s="120">
        <v>689</v>
      </c>
      <c r="I890" s="57">
        <v>115</v>
      </c>
      <c r="J890" s="120">
        <v>125</v>
      </c>
      <c r="K890" s="120">
        <v>4</v>
      </c>
      <c r="L890" s="120">
        <v>100</v>
      </c>
      <c r="M890" s="120">
        <v>-9999</v>
      </c>
      <c r="N890" s="120">
        <v>-9999</v>
      </c>
      <c r="O890" s="120">
        <v>2</v>
      </c>
      <c r="P890" s="120">
        <v>-9999</v>
      </c>
      <c r="Q890" s="120">
        <v>157.5</v>
      </c>
      <c r="R890" s="120">
        <v>126.300003051758</v>
      </c>
      <c r="S890" s="148">
        <v>18.299999237060501</v>
      </c>
      <c r="T890" s="120">
        <v>-9999</v>
      </c>
      <c r="U890" s="120">
        <v>19</v>
      </c>
      <c r="V890" s="120">
        <v>-9999</v>
      </c>
      <c r="W890" s="120">
        <v>-9999</v>
      </c>
      <c r="X890" s="120">
        <v>-9999</v>
      </c>
      <c r="Y890" s="120">
        <v>-9999</v>
      </c>
      <c r="Z890" s="120">
        <v>-9999</v>
      </c>
      <c r="AA890" s="120">
        <v>68</v>
      </c>
      <c r="AB890" s="120">
        <v>14.5</v>
      </c>
      <c r="AC890" s="120">
        <v>889</v>
      </c>
      <c r="AD890" s="120">
        <v>2161</v>
      </c>
      <c r="AE890" s="120">
        <v>-9999</v>
      </c>
      <c r="AF890" s="120">
        <v>-9999</v>
      </c>
      <c r="AG890" s="120">
        <v>-9999</v>
      </c>
    </row>
    <row r="891" spans="1:33" x14ac:dyDescent="0.25">
      <c r="A891" s="120">
        <v>890</v>
      </c>
      <c r="B891" s="120" t="b">
        <v>0</v>
      </c>
      <c r="C891" s="120">
        <v>0</v>
      </c>
      <c r="D891" s="61">
        <v>3</v>
      </c>
      <c r="E891" s="120">
        <v>1</v>
      </c>
      <c r="F891" s="120" t="s">
        <v>178</v>
      </c>
      <c r="G891" s="55">
        <v>150</v>
      </c>
      <c r="H891" s="120">
        <v>657</v>
      </c>
      <c r="I891" s="57">
        <v>125</v>
      </c>
      <c r="J891" s="120">
        <v>135</v>
      </c>
      <c r="K891" s="120">
        <v>4</v>
      </c>
      <c r="L891" s="120">
        <v>100</v>
      </c>
      <c r="M891" s="120">
        <v>-9999</v>
      </c>
      <c r="N891" s="120">
        <v>-9999</v>
      </c>
      <c r="O891" s="120">
        <v>2</v>
      </c>
      <c r="P891" s="120">
        <v>-9999</v>
      </c>
      <c r="Q891" s="120">
        <v>157.5</v>
      </c>
      <c r="R891" s="120">
        <v>126.300003051758</v>
      </c>
      <c r="S891" s="148">
        <v>19.200000762939499</v>
      </c>
      <c r="T891" s="120">
        <v>-9999</v>
      </c>
      <c r="U891" s="120">
        <v>18</v>
      </c>
      <c r="V891" s="120">
        <v>-9999</v>
      </c>
      <c r="W891" s="120">
        <v>-9999</v>
      </c>
      <c r="X891" s="120">
        <v>-9999</v>
      </c>
      <c r="Y891" s="120">
        <v>-9999</v>
      </c>
      <c r="Z891" s="120">
        <v>-9999</v>
      </c>
      <c r="AA891" s="120">
        <v>68</v>
      </c>
      <c r="AB891" s="120">
        <v>14.5</v>
      </c>
      <c r="AC891" s="120">
        <v>890</v>
      </c>
      <c r="AD891" s="120">
        <v>2162</v>
      </c>
      <c r="AE891" s="120">
        <v>-9999</v>
      </c>
      <c r="AF891" s="120">
        <v>-9999</v>
      </c>
      <c r="AG891" s="120">
        <v>-9999</v>
      </c>
    </row>
    <row r="892" spans="1:33" x14ac:dyDescent="0.25">
      <c r="A892" s="120">
        <v>891</v>
      </c>
      <c r="B892" s="120" t="b">
        <v>0</v>
      </c>
      <c r="C892" s="120">
        <v>0</v>
      </c>
      <c r="D892" s="61">
        <v>3</v>
      </c>
      <c r="E892" s="120">
        <v>1</v>
      </c>
      <c r="F892" s="120" t="s">
        <v>178</v>
      </c>
      <c r="G892" s="55">
        <v>150</v>
      </c>
      <c r="H892" s="120">
        <v>627</v>
      </c>
      <c r="I892" s="57">
        <v>135</v>
      </c>
      <c r="J892" s="120">
        <v>145</v>
      </c>
      <c r="K892" s="120">
        <v>4</v>
      </c>
      <c r="L892" s="120">
        <v>100</v>
      </c>
      <c r="M892" s="120">
        <v>-9999</v>
      </c>
      <c r="N892" s="120">
        <v>-9999</v>
      </c>
      <c r="O892" s="120">
        <v>2</v>
      </c>
      <c r="P892" s="120">
        <v>-9999</v>
      </c>
      <c r="Q892" s="120">
        <v>157.5</v>
      </c>
      <c r="R892" s="120">
        <v>126.300003051758</v>
      </c>
      <c r="S892" s="148">
        <v>20.100000381469702</v>
      </c>
      <c r="T892" s="120">
        <v>-9999</v>
      </c>
      <c r="U892" s="120">
        <v>17</v>
      </c>
      <c r="V892" s="120">
        <v>-9999</v>
      </c>
      <c r="W892" s="120">
        <v>-9999</v>
      </c>
      <c r="X892" s="120">
        <v>-9999</v>
      </c>
      <c r="Y892" s="120">
        <v>-9999</v>
      </c>
      <c r="Z892" s="120">
        <v>-9999</v>
      </c>
      <c r="AA892" s="120">
        <v>68</v>
      </c>
      <c r="AB892" s="120">
        <v>14.5</v>
      </c>
      <c r="AC892" s="120">
        <v>891</v>
      </c>
      <c r="AD892" s="120">
        <v>2163</v>
      </c>
      <c r="AE892" s="120">
        <v>-9999</v>
      </c>
      <c r="AF892" s="120">
        <v>-9999</v>
      </c>
      <c r="AG892" s="120">
        <v>-9999</v>
      </c>
    </row>
    <row r="893" spans="1:33" x14ac:dyDescent="0.25">
      <c r="A893" s="120">
        <v>892</v>
      </c>
      <c r="B893" s="120" t="b">
        <v>0</v>
      </c>
      <c r="C893" s="120">
        <v>0</v>
      </c>
      <c r="D893" s="61">
        <v>3</v>
      </c>
      <c r="E893" s="120">
        <v>1</v>
      </c>
      <c r="F893" s="120" t="s">
        <v>178</v>
      </c>
      <c r="G893" s="55">
        <v>150</v>
      </c>
      <c r="H893" s="120">
        <v>586</v>
      </c>
      <c r="I893" s="57">
        <v>150</v>
      </c>
      <c r="J893" s="120">
        <v>160</v>
      </c>
      <c r="K893" s="120">
        <v>4</v>
      </c>
      <c r="L893" s="120">
        <v>100</v>
      </c>
      <c r="M893" s="120">
        <v>-9999</v>
      </c>
      <c r="N893" s="120">
        <v>-9999</v>
      </c>
      <c r="O893" s="120">
        <v>2</v>
      </c>
      <c r="P893" s="120">
        <v>-9999</v>
      </c>
      <c r="Q893" s="120">
        <v>157.5</v>
      </c>
      <c r="R893" s="120">
        <v>126.300003051758</v>
      </c>
      <c r="S893" s="148">
        <v>21.600000381469702</v>
      </c>
      <c r="T893" s="120">
        <v>-9999</v>
      </c>
      <c r="U893" s="120">
        <v>16</v>
      </c>
      <c r="V893" s="120">
        <v>-9999</v>
      </c>
      <c r="W893" s="120">
        <v>-9999</v>
      </c>
      <c r="X893" s="120">
        <v>-9999</v>
      </c>
      <c r="Y893" s="120">
        <v>-9999</v>
      </c>
      <c r="Z893" s="120">
        <v>-9999</v>
      </c>
      <c r="AA893" s="120">
        <v>68</v>
      </c>
      <c r="AB893" s="120">
        <v>14.5</v>
      </c>
      <c r="AC893" s="120">
        <v>892</v>
      </c>
      <c r="AD893" s="120">
        <v>2164</v>
      </c>
      <c r="AE893" s="120">
        <v>-9999</v>
      </c>
      <c r="AF893" s="120">
        <v>-9999</v>
      </c>
      <c r="AG893" s="120">
        <v>-9999</v>
      </c>
    </row>
    <row r="894" spans="1:33" x14ac:dyDescent="0.25">
      <c r="A894" s="120">
        <v>893</v>
      </c>
      <c r="B894" s="120" t="b">
        <v>0</v>
      </c>
      <c r="C894" s="120">
        <v>0</v>
      </c>
      <c r="D894" s="61">
        <v>3</v>
      </c>
      <c r="E894" s="120">
        <v>1</v>
      </c>
      <c r="F894" s="120" t="s">
        <v>179</v>
      </c>
      <c r="G894" s="55">
        <v>200</v>
      </c>
      <c r="H894" s="120">
        <v>1115</v>
      </c>
      <c r="I894" s="57">
        <v>75</v>
      </c>
      <c r="J894" s="120">
        <v>85</v>
      </c>
      <c r="K894" s="120">
        <v>4</v>
      </c>
      <c r="L894" s="120">
        <v>100</v>
      </c>
      <c r="M894" s="120">
        <v>-9999</v>
      </c>
      <c r="N894" s="120">
        <v>-9999</v>
      </c>
      <c r="O894" s="120">
        <v>2</v>
      </c>
      <c r="P894" s="120">
        <v>-9999</v>
      </c>
      <c r="Q894" s="120">
        <v>204</v>
      </c>
      <c r="R894" s="120">
        <v>161.69999694824199</v>
      </c>
      <c r="S894" s="148">
        <v>14.5</v>
      </c>
      <c r="T894" s="120">
        <v>-9999</v>
      </c>
      <c r="U894" s="120">
        <v>22</v>
      </c>
      <c r="V894" s="120">
        <v>-9999</v>
      </c>
      <c r="W894" s="120">
        <v>-9999</v>
      </c>
      <c r="X894" s="120">
        <v>-9999</v>
      </c>
      <c r="Y894" s="120">
        <v>-9999</v>
      </c>
      <c r="Z894" s="120">
        <v>-9999</v>
      </c>
      <c r="AA894" s="120">
        <v>68</v>
      </c>
      <c r="AB894" s="120">
        <v>14.5</v>
      </c>
      <c r="AC894" s="120">
        <v>893</v>
      </c>
      <c r="AD894" s="120">
        <v>2165</v>
      </c>
      <c r="AE894" s="120">
        <v>-9999</v>
      </c>
      <c r="AF894" s="120">
        <v>-9999</v>
      </c>
      <c r="AG894" s="120">
        <v>-9999</v>
      </c>
    </row>
    <row r="895" spans="1:33" x14ac:dyDescent="0.25">
      <c r="A895" s="120">
        <v>894</v>
      </c>
      <c r="B895" s="120" t="b">
        <v>0</v>
      </c>
      <c r="C895" s="120">
        <v>0</v>
      </c>
      <c r="D895" s="61">
        <v>3</v>
      </c>
      <c r="E895" s="120">
        <v>1</v>
      </c>
      <c r="F895" s="120" t="s">
        <v>179</v>
      </c>
      <c r="G895" s="55">
        <v>200</v>
      </c>
      <c r="H895" s="120">
        <v>996</v>
      </c>
      <c r="I895" s="57">
        <v>100</v>
      </c>
      <c r="J895" s="120">
        <v>110</v>
      </c>
      <c r="K895" s="120">
        <v>4</v>
      </c>
      <c r="L895" s="120">
        <v>100</v>
      </c>
      <c r="M895" s="120">
        <v>-9999</v>
      </c>
      <c r="N895" s="120">
        <v>-9999</v>
      </c>
      <c r="O895" s="120">
        <v>2</v>
      </c>
      <c r="P895" s="120">
        <v>-9999</v>
      </c>
      <c r="Q895" s="120">
        <v>210</v>
      </c>
      <c r="R895" s="120">
        <v>166.5</v>
      </c>
      <c r="S895" s="148">
        <v>16.700000762939499</v>
      </c>
      <c r="T895" s="120">
        <v>-9999</v>
      </c>
      <c r="U895" s="120">
        <v>19</v>
      </c>
      <c r="V895" s="120">
        <v>-9999</v>
      </c>
      <c r="W895" s="120">
        <v>-9999</v>
      </c>
      <c r="X895" s="120">
        <v>-9999</v>
      </c>
      <c r="Y895" s="120">
        <v>-9999</v>
      </c>
      <c r="Z895" s="120">
        <v>-9999</v>
      </c>
      <c r="AA895" s="120">
        <v>68</v>
      </c>
      <c r="AB895" s="120">
        <v>14.5</v>
      </c>
      <c r="AC895" s="120">
        <v>894</v>
      </c>
      <c r="AD895" s="120">
        <v>2166</v>
      </c>
      <c r="AE895" s="120">
        <v>-9999</v>
      </c>
      <c r="AF895" s="120">
        <v>-9999</v>
      </c>
      <c r="AG895" s="120">
        <v>-9999</v>
      </c>
    </row>
    <row r="896" spans="1:33" x14ac:dyDescent="0.25">
      <c r="A896" s="120">
        <v>895</v>
      </c>
      <c r="B896" s="120" t="b">
        <v>0</v>
      </c>
      <c r="C896" s="120">
        <v>0</v>
      </c>
      <c r="D896" s="61">
        <v>3</v>
      </c>
      <c r="E896" s="120">
        <v>1</v>
      </c>
      <c r="F896" s="120" t="s">
        <v>179</v>
      </c>
      <c r="G896" s="55">
        <v>200</v>
      </c>
      <c r="H896" s="120">
        <v>949</v>
      </c>
      <c r="I896" s="57">
        <v>110</v>
      </c>
      <c r="J896" s="120">
        <v>120</v>
      </c>
      <c r="K896" s="120">
        <v>4</v>
      </c>
      <c r="L896" s="120">
        <v>100</v>
      </c>
      <c r="M896" s="120">
        <v>-9999</v>
      </c>
      <c r="N896" s="120">
        <v>-9999</v>
      </c>
      <c r="O896" s="120">
        <v>2</v>
      </c>
      <c r="P896" s="120">
        <v>-9999</v>
      </c>
      <c r="Q896" s="120">
        <v>210</v>
      </c>
      <c r="R896" s="120">
        <v>166.5</v>
      </c>
      <c r="S896" s="148">
        <v>17.5</v>
      </c>
      <c r="T896" s="120">
        <v>-9999</v>
      </c>
      <c r="U896" s="120">
        <v>18</v>
      </c>
      <c r="V896" s="120">
        <v>-9999</v>
      </c>
      <c r="W896" s="120">
        <v>-9999</v>
      </c>
      <c r="X896" s="120">
        <v>-9999</v>
      </c>
      <c r="Y896" s="120">
        <v>-9999</v>
      </c>
      <c r="Z896" s="120">
        <v>-9999</v>
      </c>
      <c r="AA896" s="120">
        <v>68</v>
      </c>
      <c r="AB896" s="120">
        <v>14.5</v>
      </c>
      <c r="AC896" s="120">
        <v>895</v>
      </c>
      <c r="AD896" s="120">
        <v>2167</v>
      </c>
      <c r="AE896" s="120">
        <v>-9999</v>
      </c>
      <c r="AF896" s="120">
        <v>-9999</v>
      </c>
      <c r="AG896" s="120">
        <v>-9999</v>
      </c>
    </row>
    <row r="897" spans="1:33" x14ac:dyDescent="0.25">
      <c r="A897" s="120">
        <v>896</v>
      </c>
      <c r="B897" s="120" t="b">
        <v>0</v>
      </c>
      <c r="C897" s="120">
        <v>0</v>
      </c>
      <c r="D897" s="61">
        <v>3</v>
      </c>
      <c r="E897" s="120">
        <v>1</v>
      </c>
      <c r="F897" s="120" t="s">
        <v>179</v>
      </c>
      <c r="G897" s="55">
        <v>200</v>
      </c>
      <c r="H897" s="120">
        <v>924</v>
      </c>
      <c r="I897" s="57">
        <v>115</v>
      </c>
      <c r="J897" s="120">
        <v>125</v>
      </c>
      <c r="K897" s="120">
        <v>4</v>
      </c>
      <c r="L897" s="120">
        <v>100</v>
      </c>
      <c r="M897" s="120">
        <v>-9999</v>
      </c>
      <c r="N897" s="120">
        <v>-9999</v>
      </c>
      <c r="O897" s="120">
        <v>2</v>
      </c>
      <c r="P897" s="120">
        <v>-9999</v>
      </c>
      <c r="Q897" s="120">
        <v>210</v>
      </c>
      <c r="R897" s="120">
        <v>166.5</v>
      </c>
      <c r="S897" s="148">
        <v>18</v>
      </c>
      <c r="T897" s="120">
        <v>-9999</v>
      </c>
      <c r="U897" s="120">
        <v>18</v>
      </c>
      <c r="V897" s="120">
        <v>-9999</v>
      </c>
      <c r="W897" s="120">
        <v>-9999</v>
      </c>
      <c r="X897" s="120">
        <v>-9999</v>
      </c>
      <c r="Y897" s="120">
        <v>-9999</v>
      </c>
      <c r="Z897" s="120">
        <v>-9999</v>
      </c>
      <c r="AA897" s="120">
        <v>68</v>
      </c>
      <c r="AB897" s="120">
        <v>14.5</v>
      </c>
      <c r="AC897" s="120">
        <v>896</v>
      </c>
      <c r="AD897" s="120">
        <v>2168</v>
      </c>
      <c r="AE897" s="120">
        <v>-9999</v>
      </c>
      <c r="AF897" s="120">
        <v>-9999</v>
      </c>
      <c r="AG897" s="120">
        <v>-9999</v>
      </c>
    </row>
    <row r="898" spans="1:33" x14ac:dyDescent="0.25">
      <c r="A898" s="120">
        <v>897</v>
      </c>
      <c r="B898" s="120" t="b">
        <v>0</v>
      </c>
      <c r="C898" s="120">
        <v>0</v>
      </c>
      <c r="D898" s="61">
        <v>3</v>
      </c>
      <c r="E898" s="120">
        <v>1</v>
      </c>
      <c r="F898" s="120" t="s">
        <v>179</v>
      </c>
      <c r="G898" s="55">
        <v>200</v>
      </c>
      <c r="H898" s="120">
        <v>882</v>
      </c>
      <c r="I898" s="57">
        <v>125</v>
      </c>
      <c r="J898" s="120">
        <v>135</v>
      </c>
      <c r="K898" s="120">
        <v>4</v>
      </c>
      <c r="L898" s="120">
        <v>100</v>
      </c>
      <c r="M898" s="120">
        <v>-9999</v>
      </c>
      <c r="N898" s="120">
        <v>-9999</v>
      </c>
      <c r="O898" s="120">
        <v>2</v>
      </c>
      <c r="P898" s="120">
        <v>-9999</v>
      </c>
      <c r="Q898" s="120">
        <v>210</v>
      </c>
      <c r="R898" s="120">
        <v>166.5</v>
      </c>
      <c r="S898" s="148">
        <v>18.899999618530298</v>
      </c>
      <c r="T898" s="120">
        <v>-9999</v>
      </c>
      <c r="U898" s="120">
        <v>17</v>
      </c>
      <c r="V898" s="120">
        <v>-9999</v>
      </c>
      <c r="W898" s="120">
        <v>-9999</v>
      </c>
      <c r="X898" s="120">
        <v>-9999</v>
      </c>
      <c r="Y898" s="120">
        <v>-9999</v>
      </c>
      <c r="Z898" s="120">
        <v>-9999</v>
      </c>
      <c r="AA898" s="120">
        <v>68</v>
      </c>
      <c r="AB898" s="120">
        <v>14.5</v>
      </c>
      <c r="AC898" s="120">
        <v>897</v>
      </c>
      <c r="AD898" s="120">
        <v>2169</v>
      </c>
      <c r="AE898" s="120">
        <v>-9999</v>
      </c>
      <c r="AF898" s="120">
        <v>-9999</v>
      </c>
      <c r="AG898" s="120">
        <v>-9999</v>
      </c>
    </row>
    <row r="899" spans="1:33" x14ac:dyDescent="0.25">
      <c r="A899" s="120">
        <v>898</v>
      </c>
      <c r="B899" s="120" t="b">
        <v>0</v>
      </c>
      <c r="C899" s="120">
        <v>0</v>
      </c>
      <c r="D899" s="61">
        <v>3</v>
      </c>
      <c r="E899" s="120">
        <v>1</v>
      </c>
      <c r="F899" s="120" t="s">
        <v>179</v>
      </c>
      <c r="G899" s="55">
        <v>200</v>
      </c>
      <c r="H899" s="120">
        <v>844</v>
      </c>
      <c r="I899" s="57">
        <v>135</v>
      </c>
      <c r="J899" s="120">
        <v>145</v>
      </c>
      <c r="K899" s="120">
        <v>4</v>
      </c>
      <c r="L899" s="120">
        <v>100</v>
      </c>
      <c r="M899" s="120">
        <v>-9999</v>
      </c>
      <c r="N899" s="120">
        <v>-9999</v>
      </c>
      <c r="O899" s="120">
        <v>2</v>
      </c>
      <c r="P899" s="120">
        <v>-9999</v>
      </c>
      <c r="Q899" s="120">
        <v>210</v>
      </c>
      <c r="R899" s="120">
        <v>166.5</v>
      </c>
      <c r="S899" s="148">
        <v>19.700000762939499</v>
      </c>
      <c r="T899" s="120">
        <v>-9999</v>
      </c>
      <c r="U899" s="120">
        <v>16</v>
      </c>
      <c r="V899" s="120">
        <v>-9999</v>
      </c>
      <c r="W899" s="120">
        <v>-9999</v>
      </c>
      <c r="X899" s="120">
        <v>-9999</v>
      </c>
      <c r="Y899" s="120">
        <v>-9999</v>
      </c>
      <c r="Z899" s="120">
        <v>-9999</v>
      </c>
      <c r="AA899" s="120">
        <v>68</v>
      </c>
      <c r="AB899" s="120">
        <v>14.5</v>
      </c>
      <c r="AC899" s="120">
        <v>898</v>
      </c>
      <c r="AD899" s="120">
        <v>2170</v>
      </c>
      <c r="AE899" s="120">
        <v>-9999</v>
      </c>
      <c r="AF899" s="120">
        <v>-9999</v>
      </c>
      <c r="AG899" s="120">
        <v>-9999</v>
      </c>
    </row>
    <row r="900" spans="1:33" x14ac:dyDescent="0.25">
      <c r="A900" s="120">
        <v>899</v>
      </c>
      <c r="B900" s="120" t="b">
        <v>0</v>
      </c>
      <c r="C900" s="120">
        <v>0</v>
      </c>
      <c r="D900" s="61">
        <v>3</v>
      </c>
      <c r="E900" s="120">
        <v>1</v>
      </c>
      <c r="F900" s="120" t="s">
        <v>179</v>
      </c>
      <c r="G900" s="55">
        <v>200</v>
      </c>
      <c r="H900" s="120">
        <v>803</v>
      </c>
      <c r="I900" s="57">
        <v>150</v>
      </c>
      <c r="J900" s="120">
        <v>160</v>
      </c>
      <c r="K900" s="120">
        <v>4</v>
      </c>
      <c r="L900" s="120">
        <v>100</v>
      </c>
      <c r="M900" s="120">
        <v>-9999</v>
      </c>
      <c r="N900" s="120">
        <v>-9999</v>
      </c>
      <c r="O900" s="120">
        <v>2</v>
      </c>
      <c r="P900" s="120">
        <v>-9999</v>
      </c>
      <c r="Q900" s="120">
        <v>210</v>
      </c>
      <c r="R900" s="120">
        <v>166.5</v>
      </c>
      <c r="S900" s="148">
        <v>20.700000762939499</v>
      </c>
      <c r="T900" s="120">
        <v>-9999</v>
      </c>
      <c r="U900" s="120">
        <v>14</v>
      </c>
      <c r="V900" s="120">
        <v>-9999</v>
      </c>
      <c r="W900" s="120">
        <v>-9999</v>
      </c>
      <c r="X900" s="120">
        <v>-9999</v>
      </c>
      <c r="Y900" s="120">
        <v>-9999</v>
      </c>
      <c r="Z900" s="120">
        <v>-9999</v>
      </c>
      <c r="AA900" s="120">
        <v>68</v>
      </c>
      <c r="AB900" s="120">
        <v>14.5</v>
      </c>
      <c r="AC900" s="120">
        <v>899</v>
      </c>
      <c r="AD900" s="120">
        <v>2171</v>
      </c>
      <c r="AE900" s="120">
        <v>-9999</v>
      </c>
      <c r="AF900" s="120">
        <v>-9999</v>
      </c>
      <c r="AG900" s="120">
        <v>-9999</v>
      </c>
    </row>
    <row r="901" spans="1:33" x14ac:dyDescent="0.25">
      <c r="A901" s="120">
        <v>900</v>
      </c>
      <c r="B901" s="120" t="b">
        <v>0</v>
      </c>
      <c r="C901" s="120">
        <v>0</v>
      </c>
      <c r="D901" s="61">
        <v>3</v>
      </c>
      <c r="E901" s="120">
        <v>1</v>
      </c>
      <c r="F901" s="120" t="s">
        <v>180</v>
      </c>
      <c r="G901" s="55">
        <v>250</v>
      </c>
      <c r="H901" s="120">
        <v>1434</v>
      </c>
      <c r="I901" s="57">
        <v>75</v>
      </c>
      <c r="J901" s="120">
        <v>85</v>
      </c>
      <c r="K901" s="120">
        <v>4</v>
      </c>
      <c r="L901" s="120">
        <v>100</v>
      </c>
      <c r="M901" s="120">
        <v>-9999</v>
      </c>
      <c r="N901" s="120">
        <v>-9999</v>
      </c>
      <c r="O901" s="120">
        <v>2</v>
      </c>
      <c r="P901" s="120">
        <v>-9999</v>
      </c>
      <c r="Q901" s="120">
        <v>255</v>
      </c>
      <c r="R901" s="120">
        <v>203.19999694824199</v>
      </c>
      <c r="S901" s="148">
        <v>14.199999809265099</v>
      </c>
      <c r="T901" s="120">
        <v>-9999</v>
      </c>
      <c r="U901" s="120">
        <v>20</v>
      </c>
      <c r="V901" s="120">
        <v>-9999</v>
      </c>
      <c r="W901" s="120">
        <v>-9999</v>
      </c>
      <c r="X901" s="120">
        <v>-9999</v>
      </c>
      <c r="Y901" s="120">
        <v>-9999</v>
      </c>
      <c r="Z901" s="120">
        <v>-9999</v>
      </c>
      <c r="AA901" s="120">
        <v>68</v>
      </c>
      <c r="AB901" s="120">
        <v>14.5</v>
      </c>
      <c r="AC901" s="120">
        <v>900</v>
      </c>
      <c r="AD901" s="120">
        <v>2172</v>
      </c>
      <c r="AE901" s="120">
        <v>-9999</v>
      </c>
      <c r="AF901" s="120">
        <v>-9999</v>
      </c>
      <c r="AG901" s="120">
        <v>-9999</v>
      </c>
    </row>
    <row r="902" spans="1:33" x14ac:dyDescent="0.25">
      <c r="A902" s="120">
        <v>901</v>
      </c>
      <c r="B902" s="120" t="b">
        <v>0</v>
      </c>
      <c r="C902" s="120">
        <v>0</v>
      </c>
      <c r="D902" s="61">
        <v>3</v>
      </c>
      <c r="E902" s="120">
        <v>1</v>
      </c>
      <c r="F902" s="120" t="s">
        <v>180</v>
      </c>
      <c r="G902" s="55">
        <v>250</v>
      </c>
      <c r="H902" s="120">
        <v>1303</v>
      </c>
      <c r="I902" s="57">
        <v>100</v>
      </c>
      <c r="J902" s="120">
        <v>110</v>
      </c>
      <c r="K902" s="120">
        <v>4</v>
      </c>
      <c r="L902" s="120">
        <v>100</v>
      </c>
      <c r="M902" s="120">
        <v>-9999</v>
      </c>
      <c r="N902" s="120">
        <v>-9999</v>
      </c>
      <c r="O902" s="120">
        <v>2</v>
      </c>
      <c r="P902" s="120">
        <v>-9999</v>
      </c>
      <c r="Q902" s="120">
        <v>262.5</v>
      </c>
      <c r="R902" s="120">
        <v>209.19999694824199</v>
      </c>
      <c r="S902" s="148">
        <v>16.100000381469702</v>
      </c>
      <c r="T902" s="120">
        <v>-9999</v>
      </c>
      <c r="U902" s="120">
        <v>18</v>
      </c>
      <c r="V902" s="120">
        <v>-9999</v>
      </c>
      <c r="W902" s="120">
        <v>-9999</v>
      </c>
      <c r="X902" s="120">
        <v>-9999</v>
      </c>
      <c r="Y902" s="120">
        <v>-9999</v>
      </c>
      <c r="Z902" s="120">
        <v>-9999</v>
      </c>
      <c r="AA902" s="120">
        <v>68</v>
      </c>
      <c r="AB902" s="120">
        <v>14.5</v>
      </c>
      <c r="AC902" s="120">
        <v>901</v>
      </c>
      <c r="AD902" s="120">
        <v>2173</v>
      </c>
      <c r="AE902" s="120">
        <v>-9999</v>
      </c>
      <c r="AF902" s="120">
        <v>-9999</v>
      </c>
      <c r="AG902" s="120">
        <v>-9999</v>
      </c>
    </row>
    <row r="903" spans="1:33" x14ac:dyDescent="0.25">
      <c r="A903" s="120">
        <v>902</v>
      </c>
      <c r="B903" s="120" t="b">
        <v>0</v>
      </c>
      <c r="C903" s="120">
        <v>0</v>
      </c>
      <c r="D903" s="61">
        <v>3</v>
      </c>
      <c r="E903" s="120">
        <v>1</v>
      </c>
      <c r="F903" s="120" t="s">
        <v>180</v>
      </c>
      <c r="G903" s="55">
        <v>250</v>
      </c>
      <c r="H903" s="120">
        <v>1234</v>
      </c>
      <c r="I903" s="57">
        <v>110</v>
      </c>
      <c r="J903" s="120">
        <v>120</v>
      </c>
      <c r="K903" s="120">
        <v>4</v>
      </c>
      <c r="L903" s="120">
        <v>100</v>
      </c>
      <c r="M903" s="120">
        <v>-9999</v>
      </c>
      <c r="N903" s="120">
        <v>-9999</v>
      </c>
      <c r="O903" s="120">
        <v>2</v>
      </c>
      <c r="P903" s="120">
        <v>-9999</v>
      </c>
      <c r="Q903" s="120">
        <v>262.5</v>
      </c>
      <c r="R903" s="120">
        <v>209.19999694824199</v>
      </c>
      <c r="S903" s="148">
        <v>17</v>
      </c>
      <c r="T903" s="120">
        <v>-9999</v>
      </c>
      <c r="U903" s="120">
        <v>17</v>
      </c>
      <c r="V903" s="120">
        <v>-9999</v>
      </c>
      <c r="W903" s="120">
        <v>-9999</v>
      </c>
      <c r="X903" s="120">
        <v>-9999</v>
      </c>
      <c r="Y903" s="120">
        <v>-9999</v>
      </c>
      <c r="Z903" s="120">
        <v>-9999</v>
      </c>
      <c r="AA903" s="120">
        <v>68</v>
      </c>
      <c r="AB903" s="120">
        <v>14.5</v>
      </c>
      <c r="AC903" s="120">
        <v>902</v>
      </c>
      <c r="AD903" s="120">
        <v>2174</v>
      </c>
      <c r="AE903" s="120">
        <v>-9999</v>
      </c>
      <c r="AF903" s="120">
        <v>-9999</v>
      </c>
      <c r="AG903" s="120">
        <v>-9999</v>
      </c>
    </row>
    <row r="904" spans="1:33" x14ac:dyDescent="0.25">
      <c r="A904" s="120">
        <v>903</v>
      </c>
      <c r="B904" s="120" t="b">
        <v>0</v>
      </c>
      <c r="C904" s="120">
        <v>0</v>
      </c>
      <c r="D904" s="61">
        <v>3</v>
      </c>
      <c r="E904" s="120">
        <v>1</v>
      </c>
      <c r="F904" s="120" t="s">
        <v>180</v>
      </c>
      <c r="G904" s="55">
        <v>250</v>
      </c>
      <c r="H904" s="120">
        <v>1206</v>
      </c>
      <c r="I904" s="57">
        <v>115</v>
      </c>
      <c r="J904" s="120">
        <v>125</v>
      </c>
      <c r="K904" s="120">
        <v>4</v>
      </c>
      <c r="L904" s="120">
        <v>100</v>
      </c>
      <c r="M904" s="120">
        <v>-9999</v>
      </c>
      <c r="N904" s="120">
        <v>-9999</v>
      </c>
      <c r="O904" s="120">
        <v>2</v>
      </c>
      <c r="P904" s="120">
        <v>-9999</v>
      </c>
      <c r="Q904" s="120">
        <v>262.5</v>
      </c>
      <c r="R904" s="120">
        <v>209.19999694824199</v>
      </c>
      <c r="S904" s="148">
        <v>17.299999237060501</v>
      </c>
      <c r="T904" s="120">
        <v>-9999</v>
      </c>
      <c r="U904" s="120">
        <v>17</v>
      </c>
      <c r="V904" s="120">
        <v>-9999</v>
      </c>
      <c r="W904" s="120">
        <v>-9999</v>
      </c>
      <c r="X904" s="120">
        <v>-9999</v>
      </c>
      <c r="Y904" s="120">
        <v>-9999</v>
      </c>
      <c r="Z904" s="120">
        <v>-9999</v>
      </c>
      <c r="AA904" s="120">
        <v>68</v>
      </c>
      <c r="AB904" s="120">
        <v>14.5</v>
      </c>
      <c r="AC904" s="120">
        <v>903</v>
      </c>
      <c r="AD904" s="120">
        <v>2175</v>
      </c>
      <c r="AE904" s="120">
        <v>-9999</v>
      </c>
      <c r="AF904" s="120">
        <v>-9999</v>
      </c>
      <c r="AG904" s="120">
        <v>-9999</v>
      </c>
    </row>
    <row r="905" spans="1:33" x14ac:dyDescent="0.25">
      <c r="A905" s="120">
        <v>904</v>
      </c>
      <c r="B905" s="120" t="b">
        <v>0</v>
      </c>
      <c r="C905" s="120">
        <v>0</v>
      </c>
      <c r="D905" s="61">
        <v>3</v>
      </c>
      <c r="E905" s="120">
        <v>1</v>
      </c>
      <c r="F905" s="120" t="s">
        <v>180</v>
      </c>
      <c r="G905" s="55">
        <v>250</v>
      </c>
      <c r="H905" s="120">
        <v>1151</v>
      </c>
      <c r="I905" s="57">
        <v>125</v>
      </c>
      <c r="J905" s="120">
        <v>135</v>
      </c>
      <c r="K905" s="120">
        <v>4</v>
      </c>
      <c r="L905" s="120">
        <v>100</v>
      </c>
      <c r="M905" s="120">
        <v>-9999</v>
      </c>
      <c r="N905" s="120">
        <v>-9999</v>
      </c>
      <c r="O905" s="120">
        <v>2</v>
      </c>
      <c r="P905" s="120">
        <v>-9999</v>
      </c>
      <c r="Q905" s="120">
        <v>262.5</v>
      </c>
      <c r="R905" s="120">
        <v>209.19999694824199</v>
      </c>
      <c r="S905" s="148">
        <v>18.200000762939499</v>
      </c>
      <c r="T905" s="120">
        <v>-9999</v>
      </c>
      <c r="U905" s="120">
        <v>16</v>
      </c>
      <c r="V905" s="120">
        <v>-9999</v>
      </c>
      <c r="W905" s="120">
        <v>-9999</v>
      </c>
      <c r="X905" s="120">
        <v>-9999</v>
      </c>
      <c r="Y905" s="120">
        <v>-9999</v>
      </c>
      <c r="Z905" s="120">
        <v>-9999</v>
      </c>
      <c r="AA905" s="120">
        <v>68</v>
      </c>
      <c r="AB905" s="120">
        <v>14.5</v>
      </c>
      <c r="AC905" s="120">
        <v>904</v>
      </c>
      <c r="AD905" s="120">
        <v>2176</v>
      </c>
      <c r="AE905" s="120">
        <v>-9999</v>
      </c>
      <c r="AF905" s="120">
        <v>-9999</v>
      </c>
      <c r="AG905" s="120">
        <v>-9999</v>
      </c>
    </row>
    <row r="906" spans="1:33" x14ac:dyDescent="0.25">
      <c r="A906" s="120">
        <v>905</v>
      </c>
      <c r="B906" s="120" t="b">
        <v>0</v>
      </c>
      <c r="C906" s="120">
        <v>0</v>
      </c>
      <c r="D906" s="61">
        <v>3</v>
      </c>
      <c r="E906" s="120">
        <v>1</v>
      </c>
      <c r="F906" s="120" t="s">
        <v>180</v>
      </c>
      <c r="G906" s="55">
        <v>250</v>
      </c>
      <c r="H906" s="120">
        <v>1099</v>
      </c>
      <c r="I906" s="57">
        <v>135</v>
      </c>
      <c r="J906" s="120">
        <v>145</v>
      </c>
      <c r="K906" s="120">
        <v>4</v>
      </c>
      <c r="L906" s="120">
        <v>100</v>
      </c>
      <c r="M906" s="120">
        <v>-9999</v>
      </c>
      <c r="N906" s="120">
        <v>-9999</v>
      </c>
      <c r="O906" s="120">
        <v>2</v>
      </c>
      <c r="P906" s="120">
        <v>-9999</v>
      </c>
      <c r="Q906" s="120">
        <v>262.5</v>
      </c>
      <c r="R906" s="120">
        <v>209.19999694824199</v>
      </c>
      <c r="S906" s="148">
        <v>19</v>
      </c>
      <c r="T906" s="120">
        <v>-9999</v>
      </c>
      <c r="U906" s="120">
        <v>15</v>
      </c>
      <c r="V906" s="120">
        <v>-9999</v>
      </c>
      <c r="W906" s="120">
        <v>-9999</v>
      </c>
      <c r="X906" s="120">
        <v>-9999</v>
      </c>
      <c r="Y906" s="120">
        <v>-9999</v>
      </c>
      <c r="Z906" s="120">
        <v>-9999</v>
      </c>
      <c r="AA906" s="120">
        <v>68</v>
      </c>
      <c r="AB906" s="120">
        <v>14.5</v>
      </c>
      <c r="AC906" s="120">
        <v>905</v>
      </c>
      <c r="AD906" s="120">
        <v>2177</v>
      </c>
      <c r="AE906" s="120">
        <v>-9999</v>
      </c>
      <c r="AF906" s="120">
        <v>-9999</v>
      </c>
      <c r="AG906" s="120">
        <v>-9999</v>
      </c>
    </row>
    <row r="907" spans="1:33" x14ac:dyDescent="0.25">
      <c r="A907" s="120">
        <v>906</v>
      </c>
      <c r="B907" s="120" t="b">
        <v>0</v>
      </c>
      <c r="C907" s="120">
        <v>0</v>
      </c>
      <c r="D907" s="61">
        <v>3</v>
      </c>
      <c r="E907" s="120">
        <v>1</v>
      </c>
      <c r="F907" s="120" t="s">
        <v>180</v>
      </c>
      <c r="G907" s="55">
        <v>250</v>
      </c>
      <c r="H907" s="120">
        <v>1037</v>
      </c>
      <c r="I907" s="57">
        <v>150</v>
      </c>
      <c r="J907" s="120">
        <v>160</v>
      </c>
      <c r="K907" s="120">
        <v>4</v>
      </c>
      <c r="L907" s="120">
        <v>100</v>
      </c>
      <c r="M907" s="120">
        <v>-9999</v>
      </c>
      <c r="N907" s="120">
        <v>-9999</v>
      </c>
      <c r="O907" s="120">
        <v>2</v>
      </c>
      <c r="P907" s="120">
        <v>-9999</v>
      </c>
      <c r="Q907" s="120">
        <v>262.5</v>
      </c>
      <c r="R907" s="120">
        <v>209.19999694824199</v>
      </c>
      <c r="S907" s="148">
        <v>20.200000762939499</v>
      </c>
      <c r="T907" s="120">
        <v>-9999</v>
      </c>
      <c r="U907" s="120">
        <v>14</v>
      </c>
      <c r="V907" s="120">
        <v>-9999</v>
      </c>
      <c r="W907" s="120">
        <v>-9999</v>
      </c>
      <c r="X907" s="120">
        <v>-9999</v>
      </c>
      <c r="Y907" s="120">
        <v>-9999</v>
      </c>
      <c r="Z907" s="120">
        <v>-9999</v>
      </c>
      <c r="AA907" s="120">
        <v>68</v>
      </c>
      <c r="AB907" s="120">
        <v>14.5</v>
      </c>
      <c r="AC907" s="120">
        <v>906</v>
      </c>
      <c r="AD907" s="120">
        <v>2178</v>
      </c>
      <c r="AE907" s="120">
        <v>-9999</v>
      </c>
      <c r="AF907" s="120">
        <v>-9999</v>
      </c>
      <c r="AG907" s="120">
        <v>-9999</v>
      </c>
    </row>
    <row r="908" spans="1:33" x14ac:dyDescent="0.25">
      <c r="A908" s="120">
        <v>907</v>
      </c>
      <c r="B908" s="120" t="b">
        <v>0</v>
      </c>
      <c r="C908" s="120">
        <v>0</v>
      </c>
      <c r="D908" s="61">
        <v>3</v>
      </c>
      <c r="E908" s="120">
        <v>1</v>
      </c>
      <c r="F908" s="120" t="s">
        <v>181</v>
      </c>
      <c r="G908" s="55">
        <v>300</v>
      </c>
      <c r="H908" s="120">
        <v>1693</v>
      </c>
      <c r="I908" s="57">
        <v>75</v>
      </c>
      <c r="J908" s="120">
        <v>85</v>
      </c>
      <c r="K908" s="120">
        <v>4</v>
      </c>
      <c r="L908" s="120">
        <v>100</v>
      </c>
      <c r="M908" s="120">
        <v>-9999</v>
      </c>
      <c r="N908" s="120">
        <v>-9999</v>
      </c>
      <c r="O908" s="120">
        <v>2</v>
      </c>
      <c r="P908" s="120">
        <v>-9999</v>
      </c>
      <c r="Q908" s="120">
        <v>306</v>
      </c>
      <c r="R908" s="120">
        <v>242.60000610351599</v>
      </c>
      <c r="S908" s="148">
        <v>14.300000190734901</v>
      </c>
      <c r="T908" s="120">
        <v>-9999</v>
      </c>
      <c r="U908" s="120">
        <v>20</v>
      </c>
      <c r="V908" s="120">
        <v>-9999</v>
      </c>
      <c r="W908" s="120">
        <v>-9999</v>
      </c>
      <c r="X908" s="120">
        <v>-9999</v>
      </c>
      <c r="Y908" s="120">
        <v>-9999</v>
      </c>
      <c r="Z908" s="120">
        <v>-9999</v>
      </c>
      <c r="AA908" s="120">
        <v>68</v>
      </c>
      <c r="AB908" s="120">
        <v>14.5</v>
      </c>
      <c r="AC908" s="120">
        <v>907</v>
      </c>
      <c r="AD908" s="120">
        <v>2179</v>
      </c>
      <c r="AE908" s="120">
        <v>-9999</v>
      </c>
      <c r="AF908" s="120">
        <v>-9999</v>
      </c>
      <c r="AG908" s="120">
        <v>-9999</v>
      </c>
    </row>
    <row r="909" spans="1:33" x14ac:dyDescent="0.25">
      <c r="A909" s="120">
        <v>908</v>
      </c>
      <c r="B909" s="120" t="b">
        <v>0</v>
      </c>
      <c r="C909" s="120">
        <v>0</v>
      </c>
      <c r="D909" s="61">
        <v>3</v>
      </c>
      <c r="E909" s="120">
        <v>1</v>
      </c>
      <c r="F909" s="120" t="s">
        <v>181</v>
      </c>
      <c r="G909" s="55">
        <v>300</v>
      </c>
      <c r="H909" s="120">
        <v>1541</v>
      </c>
      <c r="I909" s="57">
        <v>100</v>
      </c>
      <c r="J909" s="120">
        <v>110</v>
      </c>
      <c r="K909" s="120">
        <v>4</v>
      </c>
      <c r="L909" s="120">
        <v>100</v>
      </c>
      <c r="M909" s="120">
        <v>-9999</v>
      </c>
      <c r="N909" s="120">
        <v>-9999</v>
      </c>
      <c r="O909" s="120">
        <v>2</v>
      </c>
      <c r="P909" s="120">
        <v>-9999</v>
      </c>
      <c r="Q909" s="120">
        <v>315</v>
      </c>
      <c r="R909" s="120">
        <v>249.69999694824199</v>
      </c>
      <c r="S909" s="148">
        <v>16.200000762939499</v>
      </c>
      <c r="T909" s="120">
        <v>-9999</v>
      </c>
      <c r="U909" s="120">
        <v>17</v>
      </c>
      <c r="V909" s="120">
        <v>-9999</v>
      </c>
      <c r="W909" s="120">
        <v>-9999</v>
      </c>
      <c r="X909" s="120">
        <v>-9999</v>
      </c>
      <c r="Y909" s="120">
        <v>-9999</v>
      </c>
      <c r="Z909" s="120">
        <v>-9999</v>
      </c>
      <c r="AA909" s="120">
        <v>68</v>
      </c>
      <c r="AB909" s="120">
        <v>14.5</v>
      </c>
      <c r="AC909" s="120">
        <v>908</v>
      </c>
      <c r="AD909" s="120">
        <v>2180</v>
      </c>
      <c r="AE909" s="120">
        <v>-9999</v>
      </c>
      <c r="AF909" s="120">
        <v>-9999</v>
      </c>
      <c r="AG909" s="120">
        <v>-9999</v>
      </c>
    </row>
    <row r="910" spans="1:33" x14ac:dyDescent="0.25">
      <c r="A910" s="120">
        <v>909</v>
      </c>
      <c r="B910" s="120" t="b">
        <v>0</v>
      </c>
      <c r="C910" s="120">
        <v>0</v>
      </c>
      <c r="D910" s="61">
        <v>3</v>
      </c>
      <c r="E910" s="120">
        <v>1</v>
      </c>
      <c r="F910" s="120" t="s">
        <v>181</v>
      </c>
      <c r="G910" s="55">
        <v>300</v>
      </c>
      <c r="H910" s="120">
        <v>1473</v>
      </c>
      <c r="I910" s="57">
        <v>110</v>
      </c>
      <c r="J910" s="120">
        <v>120</v>
      </c>
      <c r="K910" s="120">
        <v>4</v>
      </c>
      <c r="L910" s="120">
        <v>100</v>
      </c>
      <c r="M910" s="120">
        <v>-9999</v>
      </c>
      <c r="N910" s="120">
        <v>-9999</v>
      </c>
      <c r="O910" s="120">
        <v>2</v>
      </c>
      <c r="P910" s="120">
        <v>-9999</v>
      </c>
      <c r="Q910" s="120">
        <v>315</v>
      </c>
      <c r="R910" s="120">
        <v>249.69999694824199</v>
      </c>
      <c r="S910" s="148">
        <v>17</v>
      </c>
      <c r="T910" s="120">
        <v>-9999</v>
      </c>
      <c r="U910" s="120">
        <v>17</v>
      </c>
      <c r="V910" s="120">
        <v>-9999</v>
      </c>
      <c r="W910" s="120">
        <v>-9999</v>
      </c>
      <c r="X910" s="120">
        <v>-9999</v>
      </c>
      <c r="Y910" s="120">
        <v>-9999</v>
      </c>
      <c r="Z910" s="120">
        <v>-9999</v>
      </c>
      <c r="AA910" s="120">
        <v>68</v>
      </c>
      <c r="AB910" s="120">
        <v>14.5</v>
      </c>
      <c r="AC910" s="120">
        <v>909</v>
      </c>
      <c r="AD910" s="120">
        <v>2181</v>
      </c>
      <c r="AE910" s="120">
        <v>-9999</v>
      </c>
      <c r="AF910" s="120">
        <v>-9999</v>
      </c>
      <c r="AG910" s="120">
        <v>-9999</v>
      </c>
    </row>
    <row r="911" spans="1:33" x14ac:dyDescent="0.25">
      <c r="A911" s="120">
        <v>910</v>
      </c>
      <c r="B911" s="120" t="b">
        <v>0</v>
      </c>
      <c r="C911" s="120">
        <v>0</v>
      </c>
      <c r="D911" s="61">
        <v>3</v>
      </c>
      <c r="E911" s="120">
        <v>1</v>
      </c>
      <c r="F911" s="120" t="s">
        <v>181</v>
      </c>
      <c r="G911" s="55">
        <v>300</v>
      </c>
      <c r="H911" s="120">
        <v>1440</v>
      </c>
      <c r="I911" s="57">
        <v>115</v>
      </c>
      <c r="J911" s="120">
        <v>125</v>
      </c>
      <c r="K911" s="120">
        <v>4</v>
      </c>
      <c r="L911" s="120">
        <v>100</v>
      </c>
      <c r="M911" s="120">
        <v>-9999</v>
      </c>
      <c r="N911" s="120">
        <v>-9999</v>
      </c>
      <c r="O911" s="120">
        <v>2</v>
      </c>
      <c r="P911" s="120">
        <v>-9999</v>
      </c>
      <c r="Q911" s="120">
        <v>315</v>
      </c>
      <c r="R911" s="120">
        <v>249.69999694824199</v>
      </c>
      <c r="S911" s="148">
        <v>17.299999237060501</v>
      </c>
      <c r="T911" s="120">
        <v>-9999</v>
      </c>
      <c r="U911" s="120">
        <v>16</v>
      </c>
      <c r="V911" s="120">
        <v>-9999</v>
      </c>
      <c r="W911" s="120">
        <v>-9999</v>
      </c>
      <c r="X911" s="120">
        <v>-9999</v>
      </c>
      <c r="Y911" s="120">
        <v>-9999</v>
      </c>
      <c r="Z911" s="120">
        <v>-9999</v>
      </c>
      <c r="AA911" s="120">
        <v>68</v>
      </c>
      <c r="AB911" s="120">
        <v>14.5</v>
      </c>
      <c r="AC911" s="120">
        <v>910</v>
      </c>
      <c r="AD911" s="120">
        <v>2182</v>
      </c>
      <c r="AE911" s="120">
        <v>-9999</v>
      </c>
      <c r="AF911" s="120">
        <v>-9999</v>
      </c>
      <c r="AG911" s="120">
        <v>-9999</v>
      </c>
    </row>
    <row r="912" spans="1:33" x14ac:dyDescent="0.25">
      <c r="A912" s="120">
        <v>911</v>
      </c>
      <c r="B912" s="120" t="b">
        <v>0</v>
      </c>
      <c r="C912" s="120">
        <v>0</v>
      </c>
      <c r="D912" s="61">
        <v>3</v>
      </c>
      <c r="E912" s="120">
        <v>1</v>
      </c>
      <c r="F912" s="120" t="s">
        <v>181</v>
      </c>
      <c r="G912" s="55">
        <v>300</v>
      </c>
      <c r="H912" s="120">
        <v>1380</v>
      </c>
      <c r="I912" s="57">
        <v>125</v>
      </c>
      <c r="J912" s="120">
        <v>135</v>
      </c>
      <c r="K912" s="120">
        <v>4</v>
      </c>
      <c r="L912" s="120">
        <v>100</v>
      </c>
      <c r="M912" s="120">
        <v>-9999</v>
      </c>
      <c r="N912" s="120">
        <v>-9999</v>
      </c>
      <c r="O912" s="120">
        <v>2</v>
      </c>
      <c r="P912" s="120">
        <v>-9999</v>
      </c>
      <c r="Q912" s="120">
        <v>315</v>
      </c>
      <c r="R912" s="120">
        <v>249.69999694824199</v>
      </c>
      <c r="S912" s="148">
        <v>18.100000381469702</v>
      </c>
      <c r="T912" s="120">
        <v>-9999</v>
      </c>
      <c r="U912" s="120">
        <v>16</v>
      </c>
      <c r="V912" s="120">
        <v>-9999</v>
      </c>
      <c r="W912" s="120">
        <v>-9999</v>
      </c>
      <c r="X912" s="120">
        <v>-9999</v>
      </c>
      <c r="Y912" s="120">
        <v>-9999</v>
      </c>
      <c r="Z912" s="120">
        <v>-9999</v>
      </c>
      <c r="AA912" s="120">
        <v>68</v>
      </c>
      <c r="AB912" s="120">
        <v>14.5</v>
      </c>
      <c r="AC912" s="120">
        <v>911</v>
      </c>
      <c r="AD912" s="120">
        <v>2183</v>
      </c>
      <c r="AE912" s="120">
        <v>-9999</v>
      </c>
      <c r="AF912" s="120">
        <v>-9999</v>
      </c>
      <c r="AG912" s="120">
        <v>-9999</v>
      </c>
    </row>
    <row r="913" spans="1:33" x14ac:dyDescent="0.25">
      <c r="A913" s="120">
        <v>912</v>
      </c>
      <c r="B913" s="120" t="b">
        <v>0</v>
      </c>
      <c r="C913" s="120">
        <v>0</v>
      </c>
      <c r="D913" s="61">
        <v>3</v>
      </c>
      <c r="E913" s="120">
        <v>1</v>
      </c>
      <c r="F913" s="120" t="s">
        <v>181</v>
      </c>
      <c r="G913" s="55">
        <v>300</v>
      </c>
      <c r="H913" s="120">
        <v>1328</v>
      </c>
      <c r="I913" s="57">
        <v>135</v>
      </c>
      <c r="J913" s="120">
        <v>145</v>
      </c>
      <c r="K913" s="120">
        <v>4</v>
      </c>
      <c r="L913" s="120">
        <v>100</v>
      </c>
      <c r="M913" s="120">
        <v>-9999</v>
      </c>
      <c r="N913" s="120">
        <v>-9999</v>
      </c>
      <c r="O913" s="120">
        <v>2</v>
      </c>
      <c r="P913" s="120">
        <v>-9999</v>
      </c>
      <c r="Q913" s="120">
        <v>315</v>
      </c>
      <c r="R913" s="120">
        <v>249.69999694824199</v>
      </c>
      <c r="S913" s="148">
        <v>18.799999237060501</v>
      </c>
      <c r="T913" s="120">
        <v>-9999</v>
      </c>
      <c r="U913" s="120">
        <v>15</v>
      </c>
      <c r="V913" s="120">
        <v>-9999</v>
      </c>
      <c r="W913" s="120">
        <v>-9999</v>
      </c>
      <c r="X913" s="120">
        <v>-9999</v>
      </c>
      <c r="Y913" s="120">
        <v>-9999</v>
      </c>
      <c r="Z913" s="120">
        <v>-9999</v>
      </c>
      <c r="AA913" s="120">
        <v>68</v>
      </c>
      <c r="AB913" s="120">
        <v>14.5</v>
      </c>
      <c r="AC913" s="120">
        <v>912</v>
      </c>
      <c r="AD913" s="120">
        <v>2184</v>
      </c>
      <c r="AE913" s="120">
        <v>-9999</v>
      </c>
      <c r="AF913" s="120">
        <v>-9999</v>
      </c>
      <c r="AG913" s="120">
        <v>-9999</v>
      </c>
    </row>
    <row r="914" spans="1:33" x14ac:dyDescent="0.25">
      <c r="A914" s="120">
        <v>913</v>
      </c>
      <c r="B914" s="120" t="b">
        <v>0</v>
      </c>
      <c r="C914" s="120">
        <v>0</v>
      </c>
      <c r="D914" s="61">
        <v>3</v>
      </c>
      <c r="E914" s="120">
        <v>1</v>
      </c>
      <c r="F914" s="120" t="s">
        <v>181</v>
      </c>
      <c r="G914" s="55">
        <v>300</v>
      </c>
      <c r="H914" s="120">
        <v>1256</v>
      </c>
      <c r="I914" s="57">
        <v>150</v>
      </c>
      <c r="J914" s="120">
        <v>160</v>
      </c>
      <c r="K914" s="120">
        <v>4</v>
      </c>
      <c r="L914" s="120">
        <v>100</v>
      </c>
      <c r="M914" s="120">
        <v>-9999</v>
      </c>
      <c r="N914" s="120">
        <v>-9999</v>
      </c>
      <c r="O914" s="120">
        <v>2</v>
      </c>
      <c r="P914" s="120">
        <v>-9999</v>
      </c>
      <c r="Q914" s="120">
        <v>315</v>
      </c>
      <c r="R914" s="120">
        <v>249.69999694824199</v>
      </c>
      <c r="S914" s="148">
        <v>19.899999618530298</v>
      </c>
      <c r="T914" s="120">
        <v>-9999</v>
      </c>
      <c r="U914" s="120">
        <v>14</v>
      </c>
      <c r="V914" s="120">
        <v>-9999</v>
      </c>
      <c r="W914" s="120">
        <v>-9999</v>
      </c>
      <c r="X914" s="120">
        <v>-9999</v>
      </c>
      <c r="Y914" s="120">
        <v>-9999</v>
      </c>
      <c r="Z914" s="120">
        <v>-9999</v>
      </c>
      <c r="AA914" s="120">
        <v>68</v>
      </c>
      <c r="AB914" s="120">
        <v>14.5</v>
      </c>
      <c r="AC914" s="120">
        <v>913</v>
      </c>
      <c r="AD914" s="120">
        <v>2185</v>
      </c>
      <c r="AE914" s="120">
        <v>-9999</v>
      </c>
      <c r="AF914" s="120">
        <v>-9999</v>
      </c>
      <c r="AG914" s="120">
        <v>-9999</v>
      </c>
    </row>
    <row r="915" spans="1:33" x14ac:dyDescent="0.25">
      <c r="A915" s="120">
        <v>914</v>
      </c>
      <c r="B915" s="120" t="b">
        <v>0</v>
      </c>
      <c r="C915" s="120">
        <v>0</v>
      </c>
      <c r="D915" s="61">
        <v>3</v>
      </c>
      <c r="E915" s="120">
        <v>1</v>
      </c>
      <c r="F915" s="120" t="s">
        <v>182</v>
      </c>
      <c r="G915" s="55">
        <v>350</v>
      </c>
      <c r="H915" s="120">
        <v>1907</v>
      </c>
      <c r="I915" s="57">
        <v>75</v>
      </c>
      <c r="J915" s="120">
        <v>85</v>
      </c>
      <c r="K915" s="120">
        <v>4</v>
      </c>
      <c r="L915" s="120">
        <v>100</v>
      </c>
      <c r="M915" s="120">
        <v>-9999</v>
      </c>
      <c r="N915" s="120">
        <v>-9999</v>
      </c>
      <c r="O915" s="120">
        <v>2</v>
      </c>
      <c r="P915" s="120">
        <v>-9999</v>
      </c>
      <c r="Q915" s="120">
        <v>357</v>
      </c>
      <c r="R915" s="120">
        <v>281.79998779296898</v>
      </c>
      <c r="S915" s="148">
        <v>14.800000190734901</v>
      </c>
      <c r="T915" s="120">
        <v>-9999</v>
      </c>
      <c r="U915" s="120">
        <v>20</v>
      </c>
      <c r="V915" s="120">
        <v>-9999</v>
      </c>
      <c r="W915" s="120">
        <v>-9999</v>
      </c>
      <c r="X915" s="120">
        <v>-9999</v>
      </c>
      <c r="Y915" s="120">
        <v>-9999</v>
      </c>
      <c r="Z915" s="120">
        <v>-9999</v>
      </c>
      <c r="AA915" s="120">
        <v>68</v>
      </c>
      <c r="AB915" s="120">
        <v>14.5</v>
      </c>
      <c r="AC915" s="120">
        <v>914</v>
      </c>
      <c r="AD915" s="120">
        <v>2186</v>
      </c>
      <c r="AE915" s="120">
        <v>-9999</v>
      </c>
      <c r="AF915" s="120">
        <v>-9999</v>
      </c>
      <c r="AG915" s="120">
        <v>-9999</v>
      </c>
    </row>
    <row r="916" spans="1:33" x14ac:dyDescent="0.25">
      <c r="A916" s="120">
        <v>915</v>
      </c>
      <c r="B916" s="120" t="b">
        <v>0</v>
      </c>
      <c r="C916" s="120">
        <v>0</v>
      </c>
      <c r="D916" s="61">
        <v>3</v>
      </c>
      <c r="E916" s="120">
        <v>1</v>
      </c>
      <c r="F916" s="120" t="s">
        <v>182</v>
      </c>
      <c r="G916" s="55">
        <v>350</v>
      </c>
      <c r="H916" s="120">
        <v>1752</v>
      </c>
      <c r="I916" s="57">
        <v>100</v>
      </c>
      <c r="J916" s="120">
        <v>110</v>
      </c>
      <c r="K916" s="120">
        <v>4</v>
      </c>
      <c r="L916" s="120">
        <v>100</v>
      </c>
      <c r="M916" s="120">
        <v>-9999</v>
      </c>
      <c r="N916" s="120">
        <v>-9999</v>
      </c>
      <c r="O916" s="120">
        <v>2</v>
      </c>
      <c r="P916" s="120">
        <v>-9999</v>
      </c>
      <c r="Q916" s="120">
        <v>367.5</v>
      </c>
      <c r="R916" s="120">
        <v>290.10000610351602</v>
      </c>
      <c r="S916" s="148">
        <v>16.600000381469702</v>
      </c>
      <c r="T916" s="120">
        <v>-9999</v>
      </c>
      <c r="U916" s="120">
        <v>18</v>
      </c>
      <c r="V916" s="120">
        <v>-9999</v>
      </c>
      <c r="W916" s="120">
        <v>-9999</v>
      </c>
      <c r="X916" s="120">
        <v>-9999</v>
      </c>
      <c r="Y916" s="120">
        <v>-9999</v>
      </c>
      <c r="Z916" s="120">
        <v>-9999</v>
      </c>
      <c r="AA916" s="120">
        <v>68</v>
      </c>
      <c r="AB916" s="120">
        <v>14.5</v>
      </c>
      <c r="AC916" s="120">
        <v>915</v>
      </c>
      <c r="AD916" s="120">
        <v>2187</v>
      </c>
      <c r="AE916" s="120">
        <v>-9999</v>
      </c>
      <c r="AF916" s="120">
        <v>-9999</v>
      </c>
      <c r="AG916" s="120">
        <v>-9999</v>
      </c>
    </row>
    <row r="917" spans="1:33" x14ac:dyDescent="0.25">
      <c r="A917" s="120">
        <v>916</v>
      </c>
      <c r="B917" s="120" t="b">
        <v>0</v>
      </c>
      <c r="C917" s="120">
        <v>0</v>
      </c>
      <c r="D917" s="61">
        <v>3</v>
      </c>
      <c r="E917" s="120">
        <v>1</v>
      </c>
      <c r="F917" s="120" t="s">
        <v>182</v>
      </c>
      <c r="G917" s="55">
        <v>350</v>
      </c>
      <c r="H917" s="120">
        <v>2363</v>
      </c>
      <c r="I917" s="57">
        <v>110</v>
      </c>
      <c r="J917" s="120">
        <v>120</v>
      </c>
      <c r="K917" s="120">
        <v>4</v>
      </c>
      <c r="L917" s="120">
        <v>100</v>
      </c>
      <c r="M917" s="120">
        <v>-9999</v>
      </c>
      <c r="N917" s="120">
        <v>-9999</v>
      </c>
      <c r="O917" s="120">
        <v>2</v>
      </c>
      <c r="P917" s="120">
        <v>-9999</v>
      </c>
      <c r="Q917" s="120">
        <v>367.5</v>
      </c>
      <c r="R917" s="120">
        <v>290.10000610351602</v>
      </c>
      <c r="S917" s="148">
        <v>12.300000190734901</v>
      </c>
      <c r="T917" s="120">
        <v>-9999</v>
      </c>
      <c r="U917" s="120">
        <v>25</v>
      </c>
      <c r="V917" s="120">
        <v>-9999</v>
      </c>
      <c r="W917" s="120">
        <v>-9999</v>
      </c>
      <c r="X917" s="120">
        <v>-9999</v>
      </c>
      <c r="Y917" s="120">
        <v>-9999</v>
      </c>
      <c r="Z917" s="120">
        <v>-9999</v>
      </c>
      <c r="AA917" s="120">
        <v>68</v>
      </c>
      <c r="AB917" s="120">
        <v>14.5</v>
      </c>
      <c r="AC917" s="120">
        <v>916</v>
      </c>
      <c r="AD917" s="120">
        <v>2188</v>
      </c>
      <c r="AE917" s="120">
        <v>-9999</v>
      </c>
      <c r="AF917" s="120">
        <v>-9999</v>
      </c>
      <c r="AG917" s="120">
        <v>-9999</v>
      </c>
    </row>
    <row r="918" spans="1:33" x14ac:dyDescent="0.25">
      <c r="A918" s="120">
        <v>917</v>
      </c>
      <c r="B918" s="120" t="b">
        <v>0</v>
      </c>
      <c r="C918" s="120">
        <v>0</v>
      </c>
      <c r="D918" s="61">
        <v>3</v>
      </c>
      <c r="E918" s="120">
        <v>1</v>
      </c>
      <c r="F918" s="120" t="s">
        <v>182</v>
      </c>
      <c r="G918" s="55">
        <v>350</v>
      </c>
      <c r="H918" s="120">
        <v>1633</v>
      </c>
      <c r="I918" s="57">
        <v>115</v>
      </c>
      <c r="J918" s="120">
        <v>125</v>
      </c>
      <c r="K918" s="120">
        <v>4</v>
      </c>
      <c r="L918" s="120">
        <v>100</v>
      </c>
      <c r="M918" s="120">
        <v>-9999</v>
      </c>
      <c r="N918" s="120">
        <v>-9999</v>
      </c>
      <c r="O918" s="120">
        <v>2</v>
      </c>
      <c r="P918" s="120">
        <v>-9999</v>
      </c>
      <c r="Q918" s="120">
        <v>367.5</v>
      </c>
      <c r="R918" s="120">
        <v>290.10000610351602</v>
      </c>
      <c r="S918" s="148">
        <v>17.799999237060501</v>
      </c>
      <c r="T918" s="120">
        <v>-9999</v>
      </c>
      <c r="U918" s="120">
        <v>17</v>
      </c>
      <c r="V918" s="120">
        <v>-9999</v>
      </c>
      <c r="W918" s="120">
        <v>-9999</v>
      </c>
      <c r="X918" s="120">
        <v>-9999</v>
      </c>
      <c r="Y918" s="120">
        <v>-9999</v>
      </c>
      <c r="Z918" s="120">
        <v>-9999</v>
      </c>
      <c r="AA918" s="120">
        <v>68</v>
      </c>
      <c r="AB918" s="120">
        <v>14.5</v>
      </c>
      <c r="AC918" s="120">
        <v>917</v>
      </c>
      <c r="AD918" s="120">
        <v>2189</v>
      </c>
      <c r="AE918" s="120">
        <v>-9999</v>
      </c>
      <c r="AF918" s="120">
        <v>-9999</v>
      </c>
      <c r="AG918" s="120">
        <v>-9999</v>
      </c>
    </row>
    <row r="919" spans="1:33" x14ac:dyDescent="0.25">
      <c r="A919" s="120">
        <v>918</v>
      </c>
      <c r="B919" s="120" t="b">
        <v>0</v>
      </c>
      <c r="C919" s="120">
        <v>0</v>
      </c>
      <c r="D919" s="61">
        <v>3</v>
      </c>
      <c r="E919" s="120">
        <v>1</v>
      </c>
      <c r="F919" s="120" t="s">
        <v>182</v>
      </c>
      <c r="G919" s="55">
        <v>350</v>
      </c>
      <c r="H919" s="120">
        <v>1567</v>
      </c>
      <c r="I919" s="57">
        <v>125</v>
      </c>
      <c r="J919" s="120">
        <v>135</v>
      </c>
      <c r="K919" s="120">
        <v>4</v>
      </c>
      <c r="L919" s="120">
        <v>100</v>
      </c>
      <c r="M919" s="120">
        <v>-9999</v>
      </c>
      <c r="N919" s="120">
        <v>-9999</v>
      </c>
      <c r="O919" s="120">
        <v>2</v>
      </c>
      <c r="P919" s="120">
        <v>-9999</v>
      </c>
      <c r="Q919" s="120">
        <v>367.5</v>
      </c>
      <c r="R919" s="120">
        <v>290.10000610351602</v>
      </c>
      <c r="S919" s="148">
        <v>18.5</v>
      </c>
      <c r="T919" s="120">
        <v>-9999</v>
      </c>
      <c r="U919" s="120">
        <v>16</v>
      </c>
      <c r="V919" s="120">
        <v>-9999</v>
      </c>
      <c r="W919" s="120">
        <v>-9999</v>
      </c>
      <c r="X919" s="120">
        <v>-9999</v>
      </c>
      <c r="Y919" s="120">
        <v>-9999</v>
      </c>
      <c r="Z919" s="120">
        <v>-9999</v>
      </c>
      <c r="AA919" s="120">
        <v>68</v>
      </c>
      <c r="AB919" s="120">
        <v>14.5</v>
      </c>
      <c r="AC919" s="120">
        <v>918</v>
      </c>
      <c r="AD919" s="120">
        <v>2190</v>
      </c>
      <c r="AE919" s="120">
        <v>-9999</v>
      </c>
      <c r="AF919" s="120">
        <v>-9999</v>
      </c>
      <c r="AG919" s="120">
        <v>-9999</v>
      </c>
    </row>
    <row r="920" spans="1:33" x14ac:dyDescent="0.25">
      <c r="A920" s="120">
        <v>919</v>
      </c>
      <c r="B920" s="120" t="b">
        <v>0</v>
      </c>
      <c r="C920" s="120">
        <v>0</v>
      </c>
      <c r="D920" s="61">
        <v>3</v>
      </c>
      <c r="E920" s="120">
        <v>1</v>
      </c>
      <c r="F920" s="120" t="s">
        <v>182</v>
      </c>
      <c r="G920" s="55">
        <v>350</v>
      </c>
      <c r="H920" s="120">
        <v>1503</v>
      </c>
      <c r="I920" s="57">
        <v>135</v>
      </c>
      <c r="J920" s="120">
        <v>145</v>
      </c>
      <c r="K920" s="120">
        <v>4</v>
      </c>
      <c r="L920" s="120">
        <v>100</v>
      </c>
      <c r="M920" s="120">
        <v>-9999</v>
      </c>
      <c r="N920" s="120">
        <v>-9999</v>
      </c>
      <c r="O920" s="120">
        <v>2</v>
      </c>
      <c r="P920" s="120">
        <v>-9999</v>
      </c>
      <c r="Q920" s="120">
        <v>367.5</v>
      </c>
      <c r="R920" s="120">
        <v>290.10000610351602</v>
      </c>
      <c r="S920" s="148">
        <v>19.299999237060501</v>
      </c>
      <c r="T920" s="120">
        <v>-9999</v>
      </c>
      <c r="U920" s="120">
        <v>16</v>
      </c>
      <c r="V920" s="120">
        <v>-9999</v>
      </c>
      <c r="W920" s="120">
        <v>-9999</v>
      </c>
      <c r="X920" s="120">
        <v>-9999</v>
      </c>
      <c r="Y920" s="120">
        <v>-9999</v>
      </c>
      <c r="Z920" s="120">
        <v>-9999</v>
      </c>
      <c r="AA920" s="120">
        <v>68</v>
      </c>
      <c r="AB920" s="120">
        <v>14.5</v>
      </c>
      <c r="AC920" s="120">
        <v>919</v>
      </c>
      <c r="AD920" s="120">
        <v>2191</v>
      </c>
      <c r="AE920" s="120">
        <v>-9999</v>
      </c>
      <c r="AF920" s="120">
        <v>-9999</v>
      </c>
      <c r="AG920" s="120">
        <v>-9999</v>
      </c>
    </row>
    <row r="921" spans="1:33" x14ac:dyDescent="0.25">
      <c r="A921" s="120">
        <v>920</v>
      </c>
      <c r="B921" s="120" t="b">
        <v>0</v>
      </c>
      <c r="C921" s="120">
        <v>0</v>
      </c>
      <c r="D921" s="61">
        <v>3</v>
      </c>
      <c r="E921" s="120">
        <v>1</v>
      </c>
      <c r="F921" s="120" t="s">
        <v>183</v>
      </c>
      <c r="G921" s="55">
        <v>400</v>
      </c>
      <c r="H921" s="120">
        <v>2350</v>
      </c>
      <c r="I921" s="57">
        <v>75</v>
      </c>
      <c r="J921" s="120">
        <v>85</v>
      </c>
      <c r="K921" s="120">
        <v>4</v>
      </c>
      <c r="L921" s="120">
        <v>100</v>
      </c>
      <c r="M921" s="120">
        <v>-9999</v>
      </c>
      <c r="N921" s="120">
        <v>-9999</v>
      </c>
      <c r="O921" s="120">
        <v>2</v>
      </c>
      <c r="P921" s="120">
        <v>-9999</v>
      </c>
      <c r="Q921" s="120">
        <v>408</v>
      </c>
      <c r="R921" s="120">
        <v>322.10000610351602</v>
      </c>
      <c r="S921" s="148">
        <v>13.699999809265099</v>
      </c>
      <c r="T921" s="120">
        <v>-9999</v>
      </c>
      <c r="U921" s="120">
        <v>19</v>
      </c>
      <c r="V921" s="120">
        <v>-9999</v>
      </c>
      <c r="W921" s="120">
        <v>-9999</v>
      </c>
      <c r="X921" s="120">
        <v>-9999</v>
      </c>
      <c r="Y921" s="120">
        <v>-9999</v>
      </c>
      <c r="Z921" s="120">
        <v>-9999</v>
      </c>
      <c r="AA921" s="120">
        <v>68</v>
      </c>
      <c r="AB921" s="120">
        <v>14.5</v>
      </c>
      <c r="AC921" s="120">
        <v>920</v>
      </c>
      <c r="AD921" s="120">
        <v>2192</v>
      </c>
      <c r="AE921" s="120">
        <v>-9999</v>
      </c>
      <c r="AF921" s="120">
        <v>-9999</v>
      </c>
      <c r="AG921" s="120">
        <v>-9999</v>
      </c>
    </row>
    <row r="922" spans="1:33" x14ac:dyDescent="0.25">
      <c r="A922" s="120">
        <v>921</v>
      </c>
      <c r="B922" s="120" t="b">
        <v>0</v>
      </c>
      <c r="C922" s="120">
        <v>0</v>
      </c>
      <c r="D922" s="61">
        <v>3</v>
      </c>
      <c r="E922" s="120">
        <v>1</v>
      </c>
      <c r="F922" s="120" t="s">
        <v>183</v>
      </c>
      <c r="G922" s="55">
        <v>400</v>
      </c>
      <c r="H922" s="120">
        <v>2126</v>
      </c>
      <c r="I922" s="57">
        <v>100</v>
      </c>
      <c r="J922" s="120">
        <v>110</v>
      </c>
      <c r="K922" s="120">
        <v>4</v>
      </c>
      <c r="L922" s="120">
        <v>100</v>
      </c>
      <c r="M922" s="120">
        <v>-9999</v>
      </c>
      <c r="N922" s="120">
        <v>-9999</v>
      </c>
      <c r="O922" s="120">
        <v>2</v>
      </c>
      <c r="P922" s="120">
        <v>-9999</v>
      </c>
      <c r="Q922" s="120">
        <v>420</v>
      </c>
      <c r="R922" s="120">
        <v>331.60000610351602</v>
      </c>
      <c r="S922" s="148">
        <v>15.6000003814697</v>
      </c>
      <c r="T922" s="120">
        <v>-9999</v>
      </c>
      <c r="U922" s="120">
        <v>17</v>
      </c>
      <c r="V922" s="120">
        <v>-9999</v>
      </c>
      <c r="W922" s="120">
        <v>-9999</v>
      </c>
      <c r="X922" s="120">
        <v>-9999</v>
      </c>
      <c r="Y922" s="120">
        <v>-9999</v>
      </c>
      <c r="Z922" s="120">
        <v>-9999</v>
      </c>
      <c r="AA922" s="120">
        <v>68</v>
      </c>
      <c r="AB922" s="120">
        <v>14.5</v>
      </c>
      <c r="AC922" s="120">
        <v>921</v>
      </c>
      <c r="AD922" s="120">
        <v>2193</v>
      </c>
      <c r="AE922" s="120">
        <v>-9999</v>
      </c>
      <c r="AF922" s="120">
        <v>-9999</v>
      </c>
      <c r="AG922" s="120">
        <v>-9999</v>
      </c>
    </row>
    <row r="923" spans="1:33" x14ac:dyDescent="0.25">
      <c r="A923" s="120">
        <v>922</v>
      </c>
      <c r="B923" s="120" t="b">
        <v>0</v>
      </c>
      <c r="C923" s="120">
        <v>0</v>
      </c>
      <c r="D923" s="61">
        <v>3</v>
      </c>
      <c r="E923" s="120">
        <v>1</v>
      </c>
      <c r="F923" s="120" t="s">
        <v>183</v>
      </c>
      <c r="G923" s="55">
        <v>400</v>
      </c>
      <c r="H923" s="120">
        <v>2027</v>
      </c>
      <c r="I923" s="57">
        <v>110</v>
      </c>
      <c r="J923" s="120">
        <v>120</v>
      </c>
      <c r="K923" s="120">
        <v>4</v>
      </c>
      <c r="L923" s="120">
        <v>100</v>
      </c>
      <c r="M923" s="120">
        <v>-9999</v>
      </c>
      <c r="N923" s="120">
        <v>-9999</v>
      </c>
      <c r="O923" s="120">
        <v>2</v>
      </c>
      <c r="P923" s="120">
        <v>-9999</v>
      </c>
      <c r="Q923" s="120">
        <v>420</v>
      </c>
      <c r="R923" s="120">
        <v>331.60000610351602</v>
      </c>
      <c r="S923" s="148">
        <v>16.399999618530298</v>
      </c>
      <c r="T923" s="120">
        <v>-9999</v>
      </c>
      <c r="U923" s="120">
        <v>16</v>
      </c>
      <c r="V923" s="120">
        <v>-9999</v>
      </c>
      <c r="W923" s="120">
        <v>-9999</v>
      </c>
      <c r="X923" s="120">
        <v>-9999</v>
      </c>
      <c r="Y923" s="120">
        <v>-9999</v>
      </c>
      <c r="Z923" s="120">
        <v>-9999</v>
      </c>
      <c r="AA923" s="120">
        <v>68</v>
      </c>
      <c r="AB923" s="120">
        <v>14.5</v>
      </c>
      <c r="AC923" s="120">
        <v>922</v>
      </c>
      <c r="AD923" s="120">
        <v>2194</v>
      </c>
      <c r="AE923" s="120">
        <v>-9999</v>
      </c>
      <c r="AF923" s="120">
        <v>-9999</v>
      </c>
      <c r="AG923" s="120">
        <v>-9999</v>
      </c>
    </row>
    <row r="924" spans="1:33" x14ac:dyDescent="0.25">
      <c r="A924" s="120">
        <v>923</v>
      </c>
      <c r="B924" s="120" t="b">
        <v>0</v>
      </c>
      <c r="C924" s="120">
        <v>0</v>
      </c>
      <c r="D924" s="61">
        <v>3</v>
      </c>
      <c r="E924" s="120">
        <v>1</v>
      </c>
      <c r="F924" s="120" t="s">
        <v>183</v>
      </c>
      <c r="G924" s="55">
        <v>400</v>
      </c>
      <c r="H924" s="120">
        <v>1975</v>
      </c>
      <c r="I924" s="57">
        <v>115</v>
      </c>
      <c r="J924" s="120">
        <v>125</v>
      </c>
      <c r="K924" s="120">
        <v>4</v>
      </c>
      <c r="L924" s="120">
        <v>100</v>
      </c>
      <c r="M924" s="120">
        <v>-9999</v>
      </c>
      <c r="N924" s="120">
        <v>-9999</v>
      </c>
      <c r="O924" s="120">
        <v>2</v>
      </c>
      <c r="P924" s="120">
        <v>-9999</v>
      </c>
      <c r="Q924" s="120">
        <v>420</v>
      </c>
      <c r="R924" s="120">
        <v>331.60000610351602</v>
      </c>
      <c r="S924" s="148">
        <v>16.799999237060501</v>
      </c>
      <c r="T924" s="120">
        <v>-9999</v>
      </c>
      <c r="U924" s="120">
        <v>16</v>
      </c>
      <c r="V924" s="120">
        <v>-9999</v>
      </c>
      <c r="W924" s="120">
        <v>-9999</v>
      </c>
      <c r="X924" s="120">
        <v>-9999</v>
      </c>
      <c r="Y924" s="120">
        <v>-9999</v>
      </c>
      <c r="Z924" s="120">
        <v>-9999</v>
      </c>
      <c r="AA924" s="120">
        <v>68</v>
      </c>
      <c r="AB924" s="120">
        <v>14.5</v>
      </c>
      <c r="AC924" s="120">
        <v>923</v>
      </c>
      <c r="AD924" s="120">
        <v>2195</v>
      </c>
      <c r="AE924" s="120">
        <v>-9999</v>
      </c>
      <c r="AF924" s="120">
        <v>-9999</v>
      </c>
      <c r="AG924" s="120">
        <v>-9999</v>
      </c>
    </row>
    <row r="925" spans="1:33" x14ac:dyDescent="0.25">
      <c r="A925" s="120">
        <v>924</v>
      </c>
      <c r="B925" s="120" t="b">
        <v>0</v>
      </c>
      <c r="C925" s="120">
        <v>0</v>
      </c>
      <c r="D925" s="61">
        <v>3</v>
      </c>
      <c r="E925" s="120">
        <v>1</v>
      </c>
      <c r="F925" s="120" t="s">
        <v>183</v>
      </c>
      <c r="G925" s="55">
        <v>400</v>
      </c>
      <c r="H925" s="120">
        <v>1877</v>
      </c>
      <c r="I925" s="57">
        <v>125</v>
      </c>
      <c r="J925" s="120">
        <v>135</v>
      </c>
      <c r="K925" s="120">
        <v>4</v>
      </c>
      <c r="L925" s="120">
        <v>100</v>
      </c>
      <c r="M925" s="120">
        <v>-9999</v>
      </c>
      <c r="N925" s="120">
        <v>-9999</v>
      </c>
      <c r="O925" s="120">
        <v>2</v>
      </c>
      <c r="P925" s="120">
        <v>-9999</v>
      </c>
      <c r="Q925" s="120">
        <v>420</v>
      </c>
      <c r="R925" s="120">
        <v>331.60000610351602</v>
      </c>
      <c r="S925" s="148">
        <v>17.700000762939499</v>
      </c>
      <c r="T925" s="120">
        <v>-9999</v>
      </c>
      <c r="U925" s="120">
        <v>15</v>
      </c>
      <c r="V925" s="120">
        <v>-9999</v>
      </c>
      <c r="W925" s="120">
        <v>-9999</v>
      </c>
      <c r="X925" s="120">
        <v>-9999</v>
      </c>
      <c r="Y925" s="120">
        <v>-9999</v>
      </c>
      <c r="Z925" s="120">
        <v>-9999</v>
      </c>
      <c r="AA925" s="120">
        <v>68</v>
      </c>
      <c r="AB925" s="120">
        <v>14.5</v>
      </c>
      <c r="AC925" s="120">
        <v>924</v>
      </c>
      <c r="AD925" s="120">
        <v>2196</v>
      </c>
      <c r="AE925" s="120">
        <v>-9999</v>
      </c>
      <c r="AF925" s="120">
        <v>-9999</v>
      </c>
      <c r="AG925" s="120">
        <v>-9999</v>
      </c>
    </row>
    <row r="926" spans="1:33" x14ac:dyDescent="0.25">
      <c r="A926" s="120">
        <v>925</v>
      </c>
      <c r="B926" s="120" t="b">
        <v>0</v>
      </c>
      <c r="C926" s="120">
        <v>0</v>
      </c>
      <c r="D926" s="61">
        <v>3</v>
      </c>
      <c r="E926" s="120">
        <v>1</v>
      </c>
      <c r="F926" s="120" t="s">
        <v>183</v>
      </c>
      <c r="G926" s="55">
        <v>400</v>
      </c>
      <c r="H926" s="120">
        <v>1793</v>
      </c>
      <c r="I926" s="57">
        <v>135</v>
      </c>
      <c r="J926" s="120">
        <v>145</v>
      </c>
      <c r="K926" s="120">
        <v>4</v>
      </c>
      <c r="L926" s="120">
        <v>100</v>
      </c>
      <c r="M926" s="120">
        <v>-9999</v>
      </c>
      <c r="N926" s="120">
        <v>-9999</v>
      </c>
      <c r="O926" s="120">
        <v>2</v>
      </c>
      <c r="P926" s="120">
        <v>-9999</v>
      </c>
      <c r="Q926" s="120">
        <v>420</v>
      </c>
      <c r="R926" s="120">
        <v>331.60000610351602</v>
      </c>
      <c r="S926" s="148">
        <v>18.5</v>
      </c>
      <c r="T926" s="120">
        <v>-9999</v>
      </c>
      <c r="U926" s="120">
        <v>15</v>
      </c>
      <c r="V926" s="120">
        <v>-9999</v>
      </c>
      <c r="W926" s="120">
        <v>-9999</v>
      </c>
      <c r="X926" s="120">
        <v>-9999</v>
      </c>
      <c r="Y926" s="120">
        <v>-9999</v>
      </c>
      <c r="Z926" s="120">
        <v>-9999</v>
      </c>
      <c r="AA926" s="120">
        <v>68</v>
      </c>
      <c r="AB926" s="120">
        <v>14.5</v>
      </c>
      <c r="AC926" s="120">
        <v>925</v>
      </c>
      <c r="AD926" s="120">
        <v>2197</v>
      </c>
      <c r="AE926" s="120">
        <v>-9999</v>
      </c>
      <c r="AF926" s="120">
        <v>-9999</v>
      </c>
      <c r="AG926" s="120">
        <v>-9999</v>
      </c>
    </row>
    <row r="927" spans="1:33" x14ac:dyDescent="0.25">
      <c r="A927" s="120">
        <v>926</v>
      </c>
      <c r="B927" s="120" t="b">
        <v>0</v>
      </c>
      <c r="C927" s="120">
        <v>0</v>
      </c>
      <c r="D927" s="61">
        <v>3</v>
      </c>
      <c r="E927" s="120">
        <v>1</v>
      </c>
      <c r="F927" s="120" t="s">
        <v>183</v>
      </c>
      <c r="G927" s="55">
        <v>400</v>
      </c>
      <c r="H927" s="120">
        <v>1683</v>
      </c>
      <c r="I927" s="57">
        <v>150</v>
      </c>
      <c r="J927" s="120">
        <v>160</v>
      </c>
      <c r="K927" s="120">
        <v>4</v>
      </c>
      <c r="L927" s="120">
        <v>100</v>
      </c>
      <c r="M927" s="120">
        <v>-9999</v>
      </c>
      <c r="N927" s="120">
        <v>-9999</v>
      </c>
      <c r="O927" s="120">
        <v>2</v>
      </c>
      <c r="P927" s="120">
        <v>-9999</v>
      </c>
      <c r="Q927" s="120">
        <v>420</v>
      </c>
      <c r="R927" s="120">
        <v>331.60000610351602</v>
      </c>
      <c r="S927" s="148">
        <v>19.700000762939499</v>
      </c>
      <c r="T927" s="120">
        <v>-9999</v>
      </c>
      <c r="U927" s="120">
        <v>14</v>
      </c>
      <c r="V927" s="120">
        <v>-9999</v>
      </c>
      <c r="W927" s="120">
        <v>-9999</v>
      </c>
      <c r="X927" s="120">
        <v>-9999</v>
      </c>
      <c r="Y927" s="120">
        <v>-9999</v>
      </c>
      <c r="Z927" s="120">
        <v>-9999</v>
      </c>
      <c r="AA927" s="120">
        <v>68</v>
      </c>
      <c r="AB927" s="120">
        <v>14.5</v>
      </c>
      <c r="AC927" s="120">
        <v>926</v>
      </c>
      <c r="AD927" s="120">
        <v>2198</v>
      </c>
      <c r="AE927" s="120">
        <v>-9999</v>
      </c>
      <c r="AF927" s="120">
        <v>-9999</v>
      </c>
      <c r="AG927" s="120">
        <v>-9999</v>
      </c>
    </row>
    <row r="928" spans="1:33" x14ac:dyDescent="0.25">
      <c r="A928" s="120">
        <v>927</v>
      </c>
      <c r="B928" s="120" t="b">
        <v>0</v>
      </c>
      <c r="C928" s="120">
        <v>0</v>
      </c>
      <c r="D928" s="61">
        <v>3</v>
      </c>
      <c r="E928" s="120">
        <v>1</v>
      </c>
      <c r="F928" s="120" t="s">
        <v>184</v>
      </c>
      <c r="G928" s="55">
        <v>450</v>
      </c>
      <c r="H928" s="120">
        <v>2640</v>
      </c>
      <c r="I928" s="57">
        <v>75</v>
      </c>
      <c r="J928" s="120">
        <v>85</v>
      </c>
      <c r="K928" s="120">
        <v>4</v>
      </c>
      <c r="L928" s="120">
        <v>100</v>
      </c>
      <c r="M928" s="120">
        <v>-9999</v>
      </c>
      <c r="N928" s="120">
        <v>-9999</v>
      </c>
      <c r="O928" s="120">
        <v>2</v>
      </c>
      <c r="P928" s="120">
        <v>-9999</v>
      </c>
      <c r="Q928" s="120">
        <v>459</v>
      </c>
      <c r="R928" s="120">
        <v>360.39999389648398</v>
      </c>
      <c r="S928" s="148">
        <v>13.699999809265099</v>
      </c>
      <c r="T928" s="120">
        <v>-9999</v>
      </c>
      <c r="U928" s="120">
        <v>19</v>
      </c>
      <c r="V928" s="120">
        <v>-9999</v>
      </c>
      <c r="W928" s="120">
        <v>-9999</v>
      </c>
      <c r="X928" s="120">
        <v>-9999</v>
      </c>
      <c r="Y928" s="120">
        <v>-9999</v>
      </c>
      <c r="Z928" s="120">
        <v>-9999</v>
      </c>
      <c r="AA928" s="120">
        <v>68</v>
      </c>
      <c r="AB928" s="120">
        <v>14.5</v>
      </c>
      <c r="AC928" s="120">
        <v>927</v>
      </c>
      <c r="AD928" s="120">
        <v>2199</v>
      </c>
      <c r="AE928" s="120">
        <v>-9999</v>
      </c>
      <c r="AF928" s="120">
        <v>-9999</v>
      </c>
      <c r="AG928" s="120">
        <v>-9999</v>
      </c>
    </row>
    <row r="929" spans="1:33" x14ac:dyDescent="0.25">
      <c r="A929" s="120">
        <v>928</v>
      </c>
      <c r="B929" s="120" t="b">
        <v>0</v>
      </c>
      <c r="C929" s="120">
        <v>0</v>
      </c>
      <c r="D929" s="61">
        <v>3</v>
      </c>
      <c r="E929" s="120">
        <v>1</v>
      </c>
      <c r="F929" s="120" t="s">
        <v>184</v>
      </c>
      <c r="G929" s="55">
        <v>450</v>
      </c>
      <c r="H929" s="120">
        <v>2382</v>
      </c>
      <c r="I929" s="57">
        <v>100</v>
      </c>
      <c r="J929" s="120">
        <v>110</v>
      </c>
      <c r="K929" s="120">
        <v>4</v>
      </c>
      <c r="L929" s="120">
        <v>100</v>
      </c>
      <c r="M929" s="120">
        <v>-9999</v>
      </c>
      <c r="N929" s="120">
        <v>-9999</v>
      </c>
      <c r="O929" s="120">
        <v>2</v>
      </c>
      <c r="P929" s="120">
        <v>-9999</v>
      </c>
      <c r="Q929" s="120">
        <v>472.5</v>
      </c>
      <c r="R929" s="120">
        <v>371</v>
      </c>
      <c r="S929" s="148">
        <v>15.6000003814697</v>
      </c>
      <c r="T929" s="120">
        <v>-9999</v>
      </c>
      <c r="U929" s="120">
        <v>17</v>
      </c>
      <c r="V929" s="120">
        <v>-9999</v>
      </c>
      <c r="W929" s="120">
        <v>-9999</v>
      </c>
      <c r="X929" s="120">
        <v>-9999</v>
      </c>
      <c r="Y929" s="120">
        <v>-9999</v>
      </c>
      <c r="Z929" s="120">
        <v>-9999</v>
      </c>
      <c r="AA929" s="120">
        <v>68</v>
      </c>
      <c r="AB929" s="120">
        <v>14.5</v>
      </c>
      <c r="AC929" s="120">
        <v>928</v>
      </c>
      <c r="AD929" s="120">
        <v>2200</v>
      </c>
      <c r="AE929" s="120">
        <v>-9999</v>
      </c>
      <c r="AF929" s="120">
        <v>-9999</v>
      </c>
      <c r="AG929" s="120">
        <v>-9999</v>
      </c>
    </row>
    <row r="930" spans="1:33" x14ac:dyDescent="0.25">
      <c r="A930" s="120">
        <v>929</v>
      </c>
      <c r="B930" s="120" t="b">
        <v>0</v>
      </c>
      <c r="C930" s="120">
        <v>0</v>
      </c>
      <c r="D930" s="61">
        <v>3</v>
      </c>
      <c r="E930" s="120">
        <v>1</v>
      </c>
      <c r="F930" s="120" t="s">
        <v>184</v>
      </c>
      <c r="G930" s="55">
        <v>450</v>
      </c>
      <c r="H930" s="120">
        <v>2264</v>
      </c>
      <c r="I930" s="57">
        <v>110</v>
      </c>
      <c r="J930" s="120">
        <v>120</v>
      </c>
      <c r="K930" s="120">
        <v>4</v>
      </c>
      <c r="L930" s="120">
        <v>100</v>
      </c>
      <c r="M930" s="120">
        <v>-9999</v>
      </c>
      <c r="N930" s="120">
        <v>-9999</v>
      </c>
      <c r="O930" s="120">
        <v>2</v>
      </c>
      <c r="P930" s="120">
        <v>-9999</v>
      </c>
      <c r="Q930" s="120">
        <v>472.5</v>
      </c>
      <c r="R930" s="120">
        <v>371</v>
      </c>
      <c r="S930" s="148">
        <v>16.399999618530298</v>
      </c>
      <c r="T930" s="120">
        <v>-9999</v>
      </c>
      <c r="U930" s="120">
        <v>16</v>
      </c>
      <c r="V930" s="120">
        <v>-9999</v>
      </c>
      <c r="W930" s="120">
        <v>-9999</v>
      </c>
      <c r="X930" s="120">
        <v>-9999</v>
      </c>
      <c r="Y930" s="120">
        <v>-9999</v>
      </c>
      <c r="Z930" s="120">
        <v>-9999</v>
      </c>
      <c r="AA930" s="120">
        <v>68</v>
      </c>
      <c r="AB930" s="120">
        <v>14.5</v>
      </c>
      <c r="AC930" s="120">
        <v>929</v>
      </c>
      <c r="AD930" s="120">
        <v>2201</v>
      </c>
      <c r="AE930" s="120">
        <v>-9999</v>
      </c>
      <c r="AF930" s="120">
        <v>-9999</v>
      </c>
      <c r="AG930" s="120">
        <v>-9999</v>
      </c>
    </row>
    <row r="931" spans="1:33" x14ac:dyDescent="0.25">
      <c r="A931" s="120">
        <v>930</v>
      </c>
      <c r="B931" s="120" t="b">
        <v>0</v>
      </c>
      <c r="C931" s="120">
        <v>0</v>
      </c>
      <c r="D931" s="61">
        <v>3</v>
      </c>
      <c r="E931" s="120">
        <v>1</v>
      </c>
      <c r="F931" s="120" t="s">
        <v>184</v>
      </c>
      <c r="G931" s="55">
        <v>450</v>
      </c>
      <c r="H931" s="120">
        <v>2211</v>
      </c>
      <c r="I931" s="57">
        <v>115</v>
      </c>
      <c r="J931" s="120">
        <v>125</v>
      </c>
      <c r="K931" s="120">
        <v>4</v>
      </c>
      <c r="L931" s="120">
        <v>100</v>
      </c>
      <c r="M931" s="120">
        <v>-9999</v>
      </c>
      <c r="N931" s="120">
        <v>-9999</v>
      </c>
      <c r="O931" s="120">
        <v>2</v>
      </c>
      <c r="P931" s="120">
        <v>-9999</v>
      </c>
      <c r="Q931" s="120">
        <v>472.5</v>
      </c>
      <c r="R931" s="120">
        <v>371</v>
      </c>
      <c r="S931" s="148">
        <v>16.799999237060501</v>
      </c>
      <c r="T931" s="120">
        <v>-9999</v>
      </c>
      <c r="U931" s="120">
        <v>16</v>
      </c>
      <c r="V931" s="120">
        <v>-9999</v>
      </c>
      <c r="W931" s="120">
        <v>-9999</v>
      </c>
      <c r="X931" s="120">
        <v>-9999</v>
      </c>
      <c r="Y931" s="120">
        <v>-9999</v>
      </c>
      <c r="Z931" s="120">
        <v>-9999</v>
      </c>
      <c r="AA931" s="120">
        <v>68</v>
      </c>
      <c r="AB931" s="120">
        <v>14.5</v>
      </c>
      <c r="AC931" s="120">
        <v>930</v>
      </c>
      <c r="AD931" s="120">
        <v>2202</v>
      </c>
      <c r="AE931" s="120">
        <v>-9999</v>
      </c>
      <c r="AF931" s="120">
        <v>-9999</v>
      </c>
      <c r="AG931" s="120">
        <v>-9999</v>
      </c>
    </row>
    <row r="932" spans="1:33" x14ac:dyDescent="0.25">
      <c r="A932" s="120">
        <v>931</v>
      </c>
      <c r="B932" s="120" t="b">
        <v>0</v>
      </c>
      <c r="C932" s="120">
        <v>0</v>
      </c>
      <c r="D932" s="61">
        <v>3</v>
      </c>
      <c r="E932" s="120">
        <v>1</v>
      </c>
      <c r="F932" s="120" t="s">
        <v>184</v>
      </c>
      <c r="G932" s="55">
        <v>450</v>
      </c>
      <c r="H932" s="120">
        <v>2108</v>
      </c>
      <c r="I932" s="57">
        <v>125</v>
      </c>
      <c r="J932" s="120">
        <v>135</v>
      </c>
      <c r="K932" s="120">
        <v>4</v>
      </c>
      <c r="L932" s="120">
        <v>100</v>
      </c>
      <c r="M932" s="120">
        <v>-9999</v>
      </c>
      <c r="N932" s="120">
        <v>-9999</v>
      </c>
      <c r="O932" s="120">
        <v>2</v>
      </c>
      <c r="P932" s="120">
        <v>-9999</v>
      </c>
      <c r="Q932" s="120">
        <v>472.5</v>
      </c>
      <c r="R932" s="120">
        <v>371</v>
      </c>
      <c r="S932" s="148">
        <v>17.600000381469702</v>
      </c>
      <c r="T932" s="120">
        <v>-9999</v>
      </c>
      <c r="U932" s="120">
        <v>15</v>
      </c>
      <c r="V932" s="120">
        <v>-9999</v>
      </c>
      <c r="W932" s="120">
        <v>-9999</v>
      </c>
      <c r="X932" s="120">
        <v>-9999</v>
      </c>
      <c r="Y932" s="120">
        <v>-9999</v>
      </c>
      <c r="Z932" s="120">
        <v>-9999</v>
      </c>
      <c r="AA932" s="120">
        <v>68</v>
      </c>
      <c r="AB932" s="120">
        <v>14.5</v>
      </c>
      <c r="AC932" s="120">
        <v>931</v>
      </c>
      <c r="AD932" s="120">
        <v>2203</v>
      </c>
      <c r="AE932" s="120">
        <v>-9999</v>
      </c>
      <c r="AF932" s="120">
        <v>-9999</v>
      </c>
      <c r="AG932" s="120">
        <v>-9999</v>
      </c>
    </row>
    <row r="933" spans="1:33" x14ac:dyDescent="0.25">
      <c r="A933" s="120">
        <v>932</v>
      </c>
      <c r="B933" s="120" t="b">
        <v>0</v>
      </c>
      <c r="C933" s="120">
        <v>0</v>
      </c>
      <c r="D933" s="61">
        <v>3</v>
      </c>
      <c r="E933" s="120">
        <v>1</v>
      </c>
      <c r="F933" s="120" t="s">
        <v>184</v>
      </c>
      <c r="G933" s="55">
        <v>450</v>
      </c>
      <c r="H933" s="120">
        <v>2013</v>
      </c>
      <c r="I933" s="57">
        <v>135</v>
      </c>
      <c r="J933" s="120">
        <v>145</v>
      </c>
      <c r="K933" s="120">
        <v>4</v>
      </c>
      <c r="L933" s="120">
        <v>100</v>
      </c>
      <c r="M933" s="120">
        <v>-9999</v>
      </c>
      <c r="N933" s="120">
        <v>-9999</v>
      </c>
      <c r="O933" s="120">
        <v>2</v>
      </c>
      <c r="P933" s="120">
        <v>-9999</v>
      </c>
      <c r="Q933" s="120">
        <v>472.5</v>
      </c>
      <c r="R933" s="120">
        <v>371</v>
      </c>
      <c r="S933" s="148">
        <v>18.399999618530298</v>
      </c>
      <c r="T933" s="120">
        <v>-9999</v>
      </c>
      <c r="U933" s="120">
        <v>15</v>
      </c>
      <c r="V933" s="120">
        <v>-9999</v>
      </c>
      <c r="W933" s="120">
        <v>-9999</v>
      </c>
      <c r="X933" s="120">
        <v>-9999</v>
      </c>
      <c r="Y933" s="120">
        <v>-9999</v>
      </c>
      <c r="Z933" s="120">
        <v>-9999</v>
      </c>
      <c r="AA933" s="120">
        <v>68</v>
      </c>
      <c r="AB933" s="120">
        <v>14.5</v>
      </c>
      <c r="AC933" s="120">
        <v>932</v>
      </c>
      <c r="AD933" s="120">
        <v>2204</v>
      </c>
      <c r="AE933" s="120">
        <v>-9999</v>
      </c>
      <c r="AF933" s="120">
        <v>-9999</v>
      </c>
      <c r="AG933" s="120">
        <v>-9999</v>
      </c>
    </row>
    <row r="934" spans="1:33" x14ac:dyDescent="0.25">
      <c r="A934" s="120">
        <v>933</v>
      </c>
      <c r="B934" s="120" t="b">
        <v>0</v>
      </c>
      <c r="C934" s="120">
        <v>0</v>
      </c>
      <c r="D934" s="61">
        <v>3</v>
      </c>
      <c r="E934" s="120">
        <v>1</v>
      </c>
      <c r="F934" s="120" t="s">
        <v>184</v>
      </c>
      <c r="G934" s="55">
        <v>450</v>
      </c>
      <c r="H934" s="120">
        <v>1882</v>
      </c>
      <c r="I934" s="57">
        <v>150</v>
      </c>
      <c r="J934" s="120">
        <v>160</v>
      </c>
      <c r="K934" s="120">
        <v>4</v>
      </c>
      <c r="L934" s="120">
        <v>100</v>
      </c>
      <c r="M934" s="120">
        <v>-9999</v>
      </c>
      <c r="N934" s="120">
        <v>-9999</v>
      </c>
      <c r="O934" s="120">
        <v>2</v>
      </c>
      <c r="P934" s="120">
        <v>-9999</v>
      </c>
      <c r="Q934" s="120">
        <v>472.5</v>
      </c>
      <c r="R934" s="120">
        <v>371</v>
      </c>
      <c r="S934" s="148">
        <v>19.700000762939499</v>
      </c>
      <c r="T934" s="120">
        <v>-9999</v>
      </c>
      <c r="U934" s="120">
        <v>14</v>
      </c>
      <c r="V934" s="120">
        <v>-9999</v>
      </c>
      <c r="W934" s="120">
        <v>-9999</v>
      </c>
      <c r="X934" s="120">
        <v>-9999</v>
      </c>
      <c r="Y934" s="120">
        <v>-9999</v>
      </c>
      <c r="Z934" s="120">
        <v>-9999</v>
      </c>
      <c r="AA934" s="120">
        <v>68</v>
      </c>
      <c r="AB934" s="120">
        <v>14.5</v>
      </c>
      <c r="AC934" s="120">
        <v>933</v>
      </c>
      <c r="AD934" s="120">
        <v>2205</v>
      </c>
      <c r="AE934" s="120">
        <v>-9999</v>
      </c>
      <c r="AF934" s="120">
        <v>-9999</v>
      </c>
      <c r="AG934" s="120">
        <v>-9999</v>
      </c>
    </row>
    <row r="935" spans="1:33" x14ac:dyDescent="0.25">
      <c r="A935" s="120">
        <v>934</v>
      </c>
      <c r="B935" s="120" t="b">
        <v>0</v>
      </c>
      <c r="C935" s="120">
        <v>0</v>
      </c>
      <c r="D935" s="61">
        <v>3</v>
      </c>
      <c r="E935" s="120">
        <v>1</v>
      </c>
      <c r="F935" s="120" t="s">
        <v>185</v>
      </c>
      <c r="G935" s="55">
        <v>500</v>
      </c>
      <c r="H935" s="120">
        <v>2847</v>
      </c>
      <c r="I935" s="57">
        <v>75</v>
      </c>
      <c r="J935" s="120">
        <v>85</v>
      </c>
      <c r="K935" s="120">
        <v>4</v>
      </c>
      <c r="L935" s="120">
        <v>100</v>
      </c>
      <c r="M935" s="120">
        <v>-9999</v>
      </c>
      <c r="N935" s="120">
        <v>-9999</v>
      </c>
      <c r="O935" s="120">
        <v>2</v>
      </c>
      <c r="P935" s="120">
        <v>-9999</v>
      </c>
      <c r="Q935" s="120">
        <v>510</v>
      </c>
      <c r="R935" s="120">
        <v>402.60000610351602</v>
      </c>
      <c r="S935" s="148">
        <v>14.1000003814697</v>
      </c>
      <c r="T935" s="120">
        <v>-9999</v>
      </c>
      <c r="U935" s="120">
        <v>18</v>
      </c>
      <c r="V935" s="120">
        <v>-9999</v>
      </c>
      <c r="W935" s="120">
        <v>-9999</v>
      </c>
      <c r="X935" s="120">
        <v>-9999</v>
      </c>
      <c r="Y935" s="120">
        <v>-9999</v>
      </c>
      <c r="Z935" s="120">
        <v>-9999</v>
      </c>
      <c r="AA935" s="120">
        <v>68</v>
      </c>
      <c r="AB935" s="120">
        <v>14.5</v>
      </c>
      <c r="AC935" s="120">
        <v>934</v>
      </c>
      <c r="AD935" s="120">
        <v>2206</v>
      </c>
      <c r="AE935" s="120">
        <v>-9999</v>
      </c>
      <c r="AF935" s="120">
        <v>-9999</v>
      </c>
      <c r="AG935" s="120">
        <v>-9999</v>
      </c>
    </row>
    <row r="936" spans="1:33" x14ac:dyDescent="0.25">
      <c r="A936" s="120">
        <v>935</v>
      </c>
      <c r="B936" s="120" t="b">
        <v>0</v>
      </c>
      <c r="C936" s="120">
        <v>0</v>
      </c>
      <c r="D936" s="61">
        <v>3</v>
      </c>
      <c r="E936" s="120">
        <v>1</v>
      </c>
      <c r="F936" s="120" t="s">
        <v>185</v>
      </c>
      <c r="G936" s="55">
        <v>500</v>
      </c>
      <c r="H936" s="120">
        <v>2578</v>
      </c>
      <c r="I936" s="57">
        <v>100</v>
      </c>
      <c r="J936" s="120">
        <v>110</v>
      </c>
      <c r="K936" s="120">
        <v>4</v>
      </c>
      <c r="L936" s="120">
        <v>100</v>
      </c>
      <c r="M936" s="120">
        <v>-9999</v>
      </c>
      <c r="N936" s="120">
        <v>-9999</v>
      </c>
      <c r="O936" s="120">
        <v>2</v>
      </c>
      <c r="P936" s="120">
        <v>-9999</v>
      </c>
      <c r="Q936" s="120">
        <v>525</v>
      </c>
      <c r="R936" s="120">
        <v>414.39999389648398</v>
      </c>
      <c r="S936" s="148">
        <v>16.100000381469702</v>
      </c>
      <c r="T936" s="120">
        <v>-9999</v>
      </c>
      <c r="U936" s="120">
        <v>16</v>
      </c>
      <c r="V936" s="120">
        <v>-9999</v>
      </c>
      <c r="W936" s="120">
        <v>-9999</v>
      </c>
      <c r="X936" s="120">
        <v>-9999</v>
      </c>
      <c r="Y936" s="120">
        <v>-9999</v>
      </c>
      <c r="Z936" s="120">
        <v>-9999</v>
      </c>
      <c r="AA936" s="120">
        <v>68</v>
      </c>
      <c r="AB936" s="120">
        <v>14.5</v>
      </c>
      <c r="AC936" s="120">
        <v>935</v>
      </c>
      <c r="AD936" s="120">
        <v>2207</v>
      </c>
      <c r="AE936" s="120">
        <v>-9999</v>
      </c>
      <c r="AF936" s="120">
        <v>-9999</v>
      </c>
      <c r="AG936" s="120">
        <v>-9999</v>
      </c>
    </row>
    <row r="937" spans="1:33" x14ac:dyDescent="0.25">
      <c r="A937" s="120">
        <v>936</v>
      </c>
      <c r="B937" s="120" t="b">
        <v>0</v>
      </c>
      <c r="C937" s="120">
        <v>0</v>
      </c>
      <c r="D937" s="61">
        <v>3</v>
      </c>
      <c r="E937" s="120">
        <v>1</v>
      </c>
      <c r="F937" s="120" t="s">
        <v>185</v>
      </c>
      <c r="G937" s="55">
        <v>500</v>
      </c>
      <c r="H937" s="120">
        <v>2460</v>
      </c>
      <c r="I937" s="57">
        <v>110</v>
      </c>
      <c r="J937" s="120">
        <v>120</v>
      </c>
      <c r="K937" s="120">
        <v>4</v>
      </c>
      <c r="L937" s="120">
        <v>100</v>
      </c>
      <c r="M937" s="120">
        <v>-9999</v>
      </c>
      <c r="N937" s="120">
        <v>-9999</v>
      </c>
      <c r="O937" s="120">
        <v>2</v>
      </c>
      <c r="P937" s="120">
        <v>-9999</v>
      </c>
      <c r="Q937" s="120">
        <v>525</v>
      </c>
      <c r="R937" s="120">
        <v>414.39999389648398</v>
      </c>
      <c r="S937" s="148">
        <v>16.799999237060501</v>
      </c>
      <c r="T937" s="120">
        <v>-9999</v>
      </c>
      <c r="U937" s="120">
        <v>15</v>
      </c>
      <c r="V937" s="120">
        <v>-9999</v>
      </c>
      <c r="W937" s="120">
        <v>-9999</v>
      </c>
      <c r="X937" s="120">
        <v>-9999</v>
      </c>
      <c r="Y937" s="120">
        <v>-9999</v>
      </c>
      <c r="Z937" s="120">
        <v>-9999</v>
      </c>
      <c r="AA937" s="120">
        <v>68</v>
      </c>
      <c r="AB937" s="120">
        <v>14.5</v>
      </c>
      <c r="AC937" s="120">
        <v>936</v>
      </c>
      <c r="AD937" s="120">
        <v>2208</v>
      </c>
      <c r="AE937" s="120">
        <v>-9999</v>
      </c>
      <c r="AF937" s="120">
        <v>-9999</v>
      </c>
      <c r="AG937" s="120">
        <v>-9999</v>
      </c>
    </row>
    <row r="938" spans="1:33" x14ac:dyDescent="0.25">
      <c r="A938" s="120">
        <v>937</v>
      </c>
      <c r="B938" s="120" t="b">
        <v>0</v>
      </c>
      <c r="C938" s="120">
        <v>0</v>
      </c>
      <c r="D938" s="61">
        <v>3</v>
      </c>
      <c r="E938" s="120">
        <v>1</v>
      </c>
      <c r="F938" s="120" t="s">
        <v>185</v>
      </c>
      <c r="G938" s="55">
        <v>500</v>
      </c>
      <c r="H938" s="120">
        <v>2400</v>
      </c>
      <c r="I938" s="57">
        <v>115</v>
      </c>
      <c r="J938" s="120">
        <v>125</v>
      </c>
      <c r="K938" s="120">
        <v>4</v>
      </c>
      <c r="L938" s="120">
        <v>100</v>
      </c>
      <c r="M938" s="120">
        <v>-9999</v>
      </c>
      <c r="N938" s="120">
        <v>-9999</v>
      </c>
      <c r="O938" s="120">
        <v>2</v>
      </c>
      <c r="P938" s="120">
        <v>-9999</v>
      </c>
      <c r="Q938" s="120">
        <v>525</v>
      </c>
      <c r="R938" s="120">
        <v>414.39999389648398</v>
      </c>
      <c r="S938" s="148">
        <v>17.299999237060501</v>
      </c>
      <c r="T938" s="120">
        <v>-9999</v>
      </c>
      <c r="U938" s="120">
        <v>15</v>
      </c>
      <c r="V938" s="120">
        <v>-9999</v>
      </c>
      <c r="W938" s="120">
        <v>-9999</v>
      </c>
      <c r="X938" s="120">
        <v>-9999</v>
      </c>
      <c r="Y938" s="120">
        <v>-9999</v>
      </c>
      <c r="Z938" s="120">
        <v>-9999</v>
      </c>
      <c r="AA938" s="120">
        <v>68</v>
      </c>
      <c r="AB938" s="120">
        <v>14.5</v>
      </c>
      <c r="AC938" s="120">
        <v>937</v>
      </c>
      <c r="AD938" s="120">
        <v>2209</v>
      </c>
      <c r="AE938" s="120">
        <v>-9999</v>
      </c>
      <c r="AF938" s="120">
        <v>-9999</v>
      </c>
      <c r="AG938" s="120">
        <v>-9999</v>
      </c>
    </row>
    <row r="939" spans="1:33" x14ac:dyDescent="0.25">
      <c r="A939" s="120">
        <v>938</v>
      </c>
      <c r="B939" s="120" t="b">
        <v>0</v>
      </c>
      <c r="C939" s="120">
        <v>0</v>
      </c>
      <c r="D939" s="61">
        <v>3</v>
      </c>
      <c r="E939" s="120">
        <v>1</v>
      </c>
      <c r="F939" s="120" t="s">
        <v>185</v>
      </c>
      <c r="G939" s="55">
        <v>500</v>
      </c>
      <c r="H939" s="120">
        <v>2318</v>
      </c>
      <c r="I939" s="57">
        <v>125</v>
      </c>
      <c r="J939" s="120">
        <v>135</v>
      </c>
      <c r="K939" s="120">
        <v>4</v>
      </c>
      <c r="L939" s="120">
        <v>100</v>
      </c>
      <c r="M939" s="120">
        <v>-9999</v>
      </c>
      <c r="N939" s="120">
        <v>-9999</v>
      </c>
      <c r="O939" s="120">
        <v>2</v>
      </c>
      <c r="P939" s="120">
        <v>-9999</v>
      </c>
      <c r="Q939" s="120">
        <v>525</v>
      </c>
      <c r="R939" s="120">
        <v>414.39999389648398</v>
      </c>
      <c r="S939" s="148">
        <v>17.899999618530298</v>
      </c>
      <c r="T939" s="120">
        <v>-9999</v>
      </c>
      <c r="U939" s="120">
        <v>14</v>
      </c>
      <c r="V939" s="120">
        <v>-9999</v>
      </c>
      <c r="W939" s="120">
        <v>-9999</v>
      </c>
      <c r="X939" s="120">
        <v>-9999</v>
      </c>
      <c r="Y939" s="120">
        <v>-9999</v>
      </c>
      <c r="Z939" s="120">
        <v>-9999</v>
      </c>
      <c r="AA939" s="120">
        <v>68</v>
      </c>
      <c r="AB939" s="120">
        <v>14.5</v>
      </c>
      <c r="AC939" s="120">
        <v>938</v>
      </c>
      <c r="AD939" s="120">
        <v>2210</v>
      </c>
      <c r="AE939" s="120">
        <v>-9999</v>
      </c>
      <c r="AF939" s="120">
        <v>-9999</v>
      </c>
      <c r="AG939" s="120">
        <v>-9999</v>
      </c>
    </row>
    <row r="940" spans="1:33" x14ac:dyDescent="0.25">
      <c r="A940" s="120">
        <v>939</v>
      </c>
      <c r="B940" s="120" t="b">
        <v>0</v>
      </c>
      <c r="C940" s="120">
        <v>0</v>
      </c>
      <c r="D940" s="61">
        <v>3</v>
      </c>
      <c r="E940" s="120">
        <v>1</v>
      </c>
      <c r="F940" s="120" t="s">
        <v>185</v>
      </c>
      <c r="G940" s="55">
        <v>500</v>
      </c>
      <c r="H940" s="120">
        <v>2221</v>
      </c>
      <c r="I940" s="57">
        <v>135</v>
      </c>
      <c r="J940" s="120">
        <v>145</v>
      </c>
      <c r="K940" s="120">
        <v>4</v>
      </c>
      <c r="L940" s="120">
        <v>100</v>
      </c>
      <c r="M940" s="120">
        <v>-9999</v>
      </c>
      <c r="N940" s="120">
        <v>-9999</v>
      </c>
      <c r="O940" s="120">
        <v>2</v>
      </c>
      <c r="P940" s="120">
        <v>-9999</v>
      </c>
      <c r="Q940" s="120">
        <v>525</v>
      </c>
      <c r="R940" s="120">
        <v>414.39999389648398</v>
      </c>
      <c r="S940" s="148">
        <v>18.700000762939499</v>
      </c>
      <c r="T940" s="120">
        <v>-9999</v>
      </c>
      <c r="U940" s="120">
        <v>14</v>
      </c>
      <c r="V940" s="120">
        <v>-9999</v>
      </c>
      <c r="W940" s="120">
        <v>-9999</v>
      </c>
      <c r="X940" s="120">
        <v>-9999</v>
      </c>
      <c r="Y940" s="120">
        <v>-9999</v>
      </c>
      <c r="Z940" s="120">
        <v>-9999</v>
      </c>
      <c r="AA940" s="120">
        <v>68</v>
      </c>
      <c r="AB940" s="120">
        <v>14.5</v>
      </c>
      <c r="AC940" s="120">
        <v>939</v>
      </c>
      <c r="AD940" s="120">
        <v>2211</v>
      </c>
      <c r="AE940" s="120">
        <v>-9999</v>
      </c>
      <c r="AF940" s="120">
        <v>-9999</v>
      </c>
      <c r="AG940" s="120">
        <v>-9999</v>
      </c>
    </row>
    <row r="941" spans="1:33" x14ac:dyDescent="0.25">
      <c r="A941" s="120">
        <v>940</v>
      </c>
      <c r="B941" s="120" t="b">
        <v>0</v>
      </c>
      <c r="C941" s="120">
        <v>0</v>
      </c>
      <c r="D941" s="61">
        <v>3</v>
      </c>
      <c r="E941" s="120">
        <v>1</v>
      </c>
      <c r="F941" s="120" t="s">
        <v>185</v>
      </c>
      <c r="G941" s="55">
        <v>500</v>
      </c>
      <c r="H941" s="120">
        <v>2080</v>
      </c>
      <c r="I941" s="57">
        <v>150</v>
      </c>
      <c r="J941" s="120">
        <v>160</v>
      </c>
      <c r="K941" s="120">
        <v>4</v>
      </c>
      <c r="L941" s="120">
        <v>100</v>
      </c>
      <c r="M941" s="120">
        <v>-9999</v>
      </c>
      <c r="N941" s="120">
        <v>-9999</v>
      </c>
      <c r="O941" s="120">
        <v>2</v>
      </c>
      <c r="P941" s="120">
        <v>-9999</v>
      </c>
      <c r="Q941" s="120">
        <v>525</v>
      </c>
      <c r="R941" s="120">
        <v>414.39999389648398</v>
      </c>
      <c r="S941" s="148">
        <v>19.899999618530298</v>
      </c>
      <c r="T941" s="120">
        <v>-9999</v>
      </c>
      <c r="U941" s="120">
        <v>13</v>
      </c>
      <c r="V941" s="120">
        <v>-9999</v>
      </c>
      <c r="W941" s="120">
        <v>-9999</v>
      </c>
      <c r="X941" s="120">
        <v>-9999</v>
      </c>
      <c r="Y941" s="120">
        <v>-9999</v>
      </c>
      <c r="Z941" s="120">
        <v>-9999</v>
      </c>
      <c r="AA941" s="120">
        <v>68</v>
      </c>
      <c r="AB941" s="120">
        <v>14.5</v>
      </c>
      <c r="AC941" s="120">
        <v>940</v>
      </c>
      <c r="AD941" s="120">
        <v>2212</v>
      </c>
      <c r="AE941" s="120">
        <v>-9999</v>
      </c>
      <c r="AF941" s="120">
        <v>-9999</v>
      </c>
      <c r="AG941" s="120">
        <v>-9999</v>
      </c>
    </row>
    <row r="942" spans="1:33" x14ac:dyDescent="0.25">
      <c r="A942" s="120">
        <v>941</v>
      </c>
      <c r="B942" s="120" t="b">
        <v>0</v>
      </c>
      <c r="C942" s="120">
        <v>0</v>
      </c>
      <c r="D942" s="61">
        <v>4</v>
      </c>
      <c r="E942" s="120">
        <v>1</v>
      </c>
      <c r="F942" s="120" t="s">
        <v>165</v>
      </c>
      <c r="G942" s="55">
        <v>5</v>
      </c>
      <c r="H942" s="120">
        <v>36</v>
      </c>
      <c r="I942" s="57">
        <v>30</v>
      </c>
      <c r="J942" s="120">
        <v>40</v>
      </c>
      <c r="K942" s="120">
        <v>4</v>
      </c>
      <c r="L942" s="120">
        <v>100</v>
      </c>
      <c r="M942" s="120">
        <v>-9999</v>
      </c>
      <c r="N942" s="120">
        <v>-9999</v>
      </c>
      <c r="O942" s="120">
        <v>2</v>
      </c>
      <c r="P942" s="120">
        <v>-9999</v>
      </c>
      <c r="Q942" s="120">
        <v>4.5</v>
      </c>
      <c r="R942" s="120">
        <v>4</v>
      </c>
      <c r="S942" s="148">
        <v>10.8999996185303</v>
      </c>
      <c r="T942" s="120">
        <v>-9999</v>
      </c>
      <c r="U942" s="120">
        <v>15</v>
      </c>
      <c r="V942" s="120">
        <v>-9999</v>
      </c>
      <c r="W942" s="120">
        <v>-9999</v>
      </c>
      <c r="X942" s="120">
        <v>-9999</v>
      </c>
      <c r="Y942" s="120">
        <v>-9999</v>
      </c>
      <c r="Z942" s="120">
        <v>-9999</v>
      </c>
      <c r="AA942" s="120">
        <v>68</v>
      </c>
      <c r="AB942" s="120">
        <v>14.5</v>
      </c>
      <c r="AC942" s="120">
        <v>941</v>
      </c>
      <c r="AD942" s="120">
        <v>2213</v>
      </c>
      <c r="AE942" s="120">
        <v>-9999</v>
      </c>
      <c r="AF942" s="120">
        <v>-9999</v>
      </c>
      <c r="AG942" s="120">
        <v>-9999</v>
      </c>
    </row>
    <row r="943" spans="1:33" x14ac:dyDescent="0.25">
      <c r="A943" s="120">
        <v>942</v>
      </c>
      <c r="B943" s="120" t="b">
        <v>0</v>
      </c>
      <c r="C943" s="120">
        <v>0</v>
      </c>
      <c r="D943" s="61">
        <v>4</v>
      </c>
      <c r="E943" s="120">
        <v>1</v>
      </c>
      <c r="F943" s="120" t="s">
        <v>165</v>
      </c>
      <c r="G943" s="55">
        <v>5</v>
      </c>
      <c r="H943" s="120">
        <v>32</v>
      </c>
      <c r="I943" s="57">
        <v>40</v>
      </c>
      <c r="J943" s="120">
        <v>50</v>
      </c>
      <c r="K943" s="120">
        <v>4</v>
      </c>
      <c r="L943" s="120">
        <v>100</v>
      </c>
      <c r="M943" s="120">
        <v>-9999</v>
      </c>
      <c r="N943" s="120">
        <v>-9999</v>
      </c>
      <c r="O943" s="120">
        <v>2</v>
      </c>
      <c r="P943" s="120">
        <v>-9999</v>
      </c>
      <c r="Q943" s="120">
        <v>4.8000001907348597</v>
      </c>
      <c r="R943" s="120">
        <v>4.1999998092651403</v>
      </c>
      <c r="S943" s="148">
        <v>12.8999996185303</v>
      </c>
      <c r="T943" s="120">
        <v>-9999</v>
      </c>
      <c r="U943" s="120">
        <v>15</v>
      </c>
      <c r="V943" s="120">
        <v>-9999</v>
      </c>
      <c r="W943" s="120">
        <v>-9999</v>
      </c>
      <c r="X943" s="120">
        <v>-9999</v>
      </c>
      <c r="Y943" s="120">
        <v>-9999</v>
      </c>
      <c r="Z943" s="120">
        <v>-9999</v>
      </c>
      <c r="AA943" s="120">
        <v>68</v>
      </c>
      <c r="AB943" s="120">
        <v>14.5</v>
      </c>
      <c r="AC943" s="120">
        <v>942</v>
      </c>
      <c r="AD943" s="120">
        <v>2214</v>
      </c>
      <c r="AE943" s="120">
        <v>-9999</v>
      </c>
      <c r="AF943" s="120">
        <v>-9999</v>
      </c>
      <c r="AG943" s="120">
        <v>-9999</v>
      </c>
    </row>
    <row r="944" spans="1:33" x14ac:dyDescent="0.25">
      <c r="A944" s="120">
        <v>943</v>
      </c>
      <c r="B944" s="120" t="b">
        <v>0</v>
      </c>
      <c r="C944" s="120">
        <v>0</v>
      </c>
      <c r="D944" s="61">
        <v>4</v>
      </c>
      <c r="E944" s="120">
        <v>1</v>
      </c>
      <c r="F944" s="120" t="s">
        <v>165</v>
      </c>
      <c r="G944" s="55">
        <v>5</v>
      </c>
      <c r="H944" s="120">
        <v>30</v>
      </c>
      <c r="I944" s="57">
        <v>50</v>
      </c>
      <c r="J944" s="120">
        <v>60</v>
      </c>
      <c r="K944" s="120">
        <v>4</v>
      </c>
      <c r="L944" s="120">
        <v>100</v>
      </c>
      <c r="M944" s="120">
        <v>-9999</v>
      </c>
      <c r="N944" s="120">
        <v>-9999</v>
      </c>
      <c r="O944" s="120">
        <v>2</v>
      </c>
      <c r="P944" s="120">
        <v>-9999</v>
      </c>
      <c r="Q944" s="120">
        <v>4.9000000953674299</v>
      </c>
      <c r="R944" s="120">
        <v>4.3000001907348597</v>
      </c>
      <c r="S944" s="148">
        <v>14.6000003814697</v>
      </c>
      <c r="T944" s="120">
        <v>-9999</v>
      </c>
      <c r="U944" s="120">
        <v>15</v>
      </c>
      <c r="V944" s="120">
        <v>-9999</v>
      </c>
      <c r="W944" s="120">
        <v>-9999</v>
      </c>
      <c r="X944" s="120">
        <v>-9999</v>
      </c>
      <c r="Y944" s="120">
        <v>-9999</v>
      </c>
      <c r="Z944" s="120">
        <v>-9999</v>
      </c>
      <c r="AA944" s="120">
        <v>68</v>
      </c>
      <c r="AB944" s="120">
        <v>14.5</v>
      </c>
      <c r="AC944" s="120">
        <v>943</v>
      </c>
      <c r="AD944" s="120">
        <v>2215</v>
      </c>
      <c r="AE944" s="120">
        <v>-9999</v>
      </c>
      <c r="AF944" s="120">
        <v>-9999</v>
      </c>
      <c r="AG944" s="120">
        <v>-9999</v>
      </c>
    </row>
    <row r="945" spans="1:33" x14ac:dyDescent="0.25">
      <c r="A945" s="120">
        <v>944</v>
      </c>
      <c r="B945" s="120" t="b">
        <v>0</v>
      </c>
      <c r="C945" s="120">
        <v>0</v>
      </c>
      <c r="D945" s="61">
        <v>4</v>
      </c>
      <c r="E945" s="120">
        <v>1</v>
      </c>
      <c r="F945" s="120" t="s">
        <v>165</v>
      </c>
      <c r="G945" s="55">
        <v>5</v>
      </c>
      <c r="H945" s="120">
        <v>27</v>
      </c>
      <c r="I945" s="57">
        <v>60</v>
      </c>
      <c r="J945" s="120">
        <v>70</v>
      </c>
      <c r="K945" s="120">
        <v>4</v>
      </c>
      <c r="L945" s="120">
        <v>100</v>
      </c>
      <c r="M945" s="120">
        <v>-9999</v>
      </c>
      <c r="N945" s="120">
        <v>-9999</v>
      </c>
      <c r="O945" s="120">
        <v>2</v>
      </c>
      <c r="P945" s="120">
        <v>-9999</v>
      </c>
      <c r="Q945" s="120">
        <v>5</v>
      </c>
      <c r="R945" s="120">
        <v>4.4000000953674299</v>
      </c>
      <c r="S945" s="148">
        <v>16.100000381469702</v>
      </c>
      <c r="T945" s="120">
        <v>-9999</v>
      </c>
      <c r="U945" s="120">
        <v>15</v>
      </c>
      <c r="V945" s="120">
        <v>-9999</v>
      </c>
      <c r="W945" s="120">
        <v>-9999</v>
      </c>
      <c r="X945" s="120">
        <v>-9999</v>
      </c>
      <c r="Y945" s="120">
        <v>-9999</v>
      </c>
      <c r="Z945" s="120">
        <v>-9999</v>
      </c>
      <c r="AA945" s="120">
        <v>68</v>
      </c>
      <c r="AB945" s="120">
        <v>14.5</v>
      </c>
      <c r="AC945" s="120">
        <v>944</v>
      </c>
      <c r="AD945" s="120">
        <v>2216</v>
      </c>
      <c r="AE945" s="120">
        <v>-9999</v>
      </c>
      <c r="AF945" s="120">
        <v>-9999</v>
      </c>
      <c r="AG945" s="120">
        <v>-9999</v>
      </c>
    </row>
    <row r="946" spans="1:33" x14ac:dyDescent="0.25">
      <c r="A946" s="120">
        <v>945</v>
      </c>
      <c r="B946" s="120" t="b">
        <v>0</v>
      </c>
      <c r="C946" s="120">
        <v>0</v>
      </c>
      <c r="D946" s="61">
        <v>4</v>
      </c>
      <c r="E946" s="120">
        <v>1</v>
      </c>
      <c r="F946" s="120" t="s">
        <v>165</v>
      </c>
      <c r="G946" s="55">
        <v>5</v>
      </c>
      <c r="H946" s="120">
        <v>25</v>
      </c>
      <c r="I946" s="57">
        <v>70</v>
      </c>
      <c r="J946" s="120">
        <v>80</v>
      </c>
      <c r="K946" s="120">
        <v>4</v>
      </c>
      <c r="L946" s="120">
        <v>100</v>
      </c>
      <c r="M946" s="120">
        <v>-9999</v>
      </c>
      <c r="N946" s="120">
        <v>-9999</v>
      </c>
      <c r="O946" s="120">
        <v>2</v>
      </c>
      <c r="P946" s="120">
        <v>-9999</v>
      </c>
      <c r="Q946" s="120">
        <v>5.0999999046325701</v>
      </c>
      <c r="R946" s="120">
        <v>4.5</v>
      </c>
      <c r="S946" s="148">
        <v>17.700000762939499</v>
      </c>
      <c r="T946" s="120">
        <v>-9999</v>
      </c>
      <c r="U946" s="120">
        <v>15</v>
      </c>
      <c r="V946" s="120">
        <v>-9999</v>
      </c>
      <c r="W946" s="120">
        <v>-9999</v>
      </c>
      <c r="X946" s="120">
        <v>-9999</v>
      </c>
      <c r="Y946" s="120">
        <v>-9999</v>
      </c>
      <c r="Z946" s="120">
        <v>-9999</v>
      </c>
      <c r="AA946" s="120">
        <v>68</v>
      </c>
      <c r="AB946" s="120">
        <v>14.5</v>
      </c>
      <c r="AC946" s="120">
        <v>945</v>
      </c>
      <c r="AD946" s="120">
        <v>2217</v>
      </c>
      <c r="AE946" s="120">
        <v>-9999</v>
      </c>
      <c r="AF946" s="120">
        <v>-9999</v>
      </c>
      <c r="AG946" s="120">
        <v>-9999</v>
      </c>
    </row>
    <row r="947" spans="1:33" x14ac:dyDescent="0.25">
      <c r="A947" s="120">
        <v>946</v>
      </c>
      <c r="B947" s="120" t="b">
        <v>0</v>
      </c>
      <c r="C947" s="120">
        <v>0</v>
      </c>
      <c r="D947" s="61">
        <v>4</v>
      </c>
      <c r="E947" s="120">
        <v>1</v>
      </c>
      <c r="F947" s="120" t="s">
        <v>165</v>
      </c>
      <c r="G947" s="55">
        <v>5</v>
      </c>
      <c r="H947" s="120">
        <v>23</v>
      </c>
      <c r="I947" s="57">
        <v>80</v>
      </c>
      <c r="J947" s="120">
        <v>90</v>
      </c>
      <c r="K947" s="120">
        <v>4</v>
      </c>
      <c r="L947" s="120">
        <v>100</v>
      </c>
      <c r="M947" s="120">
        <v>-9999</v>
      </c>
      <c r="N947" s="120">
        <v>-9999</v>
      </c>
      <c r="O947" s="120">
        <v>2</v>
      </c>
      <c r="P947" s="120">
        <v>-9999</v>
      </c>
      <c r="Q947" s="120">
        <v>5.0999999046325701</v>
      </c>
      <c r="R947" s="120">
        <v>4.5</v>
      </c>
      <c r="S947" s="148">
        <v>19.299999237060501</v>
      </c>
      <c r="T947" s="120">
        <v>-9999</v>
      </c>
      <c r="U947" s="120">
        <v>15</v>
      </c>
      <c r="V947" s="120">
        <v>-9999</v>
      </c>
      <c r="W947" s="120">
        <v>-9999</v>
      </c>
      <c r="X947" s="120">
        <v>-9999</v>
      </c>
      <c r="Y947" s="120">
        <v>-9999</v>
      </c>
      <c r="Z947" s="120">
        <v>-9999</v>
      </c>
      <c r="AA947" s="120">
        <v>68</v>
      </c>
      <c r="AB947" s="120">
        <v>14.5</v>
      </c>
      <c r="AC947" s="120">
        <v>946</v>
      </c>
      <c r="AD947" s="120">
        <v>2218</v>
      </c>
      <c r="AE947" s="120">
        <v>-9999</v>
      </c>
      <c r="AF947" s="120">
        <v>-9999</v>
      </c>
      <c r="AG947" s="120">
        <v>-9999</v>
      </c>
    </row>
    <row r="948" spans="1:33" x14ac:dyDescent="0.25">
      <c r="A948" s="120">
        <v>947</v>
      </c>
      <c r="B948" s="120" t="b">
        <v>0</v>
      </c>
      <c r="C948" s="120">
        <v>0</v>
      </c>
      <c r="D948" s="61">
        <v>4</v>
      </c>
      <c r="E948" s="120">
        <v>1</v>
      </c>
      <c r="F948" s="120" t="s">
        <v>165</v>
      </c>
      <c r="G948" s="55">
        <v>5</v>
      </c>
      <c r="H948" s="120">
        <v>22</v>
      </c>
      <c r="I948" s="57">
        <v>90</v>
      </c>
      <c r="J948" s="120">
        <v>100</v>
      </c>
      <c r="K948" s="120">
        <v>4</v>
      </c>
      <c r="L948" s="120">
        <v>100</v>
      </c>
      <c r="M948" s="120">
        <v>-9999</v>
      </c>
      <c r="N948" s="120">
        <v>-9999</v>
      </c>
      <c r="O948" s="120">
        <v>2</v>
      </c>
      <c r="P948" s="120">
        <v>-9999</v>
      </c>
      <c r="Q948" s="120">
        <v>5.1999998092651403</v>
      </c>
      <c r="R948" s="120">
        <v>4.5</v>
      </c>
      <c r="S948" s="148">
        <v>21</v>
      </c>
      <c r="T948" s="120">
        <v>-9999</v>
      </c>
      <c r="U948" s="120">
        <v>15</v>
      </c>
      <c r="V948" s="120">
        <v>-9999</v>
      </c>
      <c r="W948" s="120">
        <v>-9999</v>
      </c>
      <c r="X948" s="120">
        <v>-9999</v>
      </c>
      <c r="Y948" s="120">
        <v>-9999</v>
      </c>
      <c r="Z948" s="120">
        <v>-9999</v>
      </c>
      <c r="AA948" s="120">
        <v>68</v>
      </c>
      <c r="AB948" s="120">
        <v>14.5</v>
      </c>
      <c r="AC948" s="120">
        <v>947</v>
      </c>
      <c r="AD948" s="120">
        <v>2219</v>
      </c>
      <c r="AE948" s="120">
        <v>-9999</v>
      </c>
      <c r="AF948" s="120">
        <v>-9999</v>
      </c>
      <c r="AG948" s="120">
        <v>-9999</v>
      </c>
    </row>
    <row r="949" spans="1:33" x14ac:dyDescent="0.25">
      <c r="A949" s="120">
        <v>948</v>
      </c>
      <c r="B949" s="120" t="b">
        <v>0</v>
      </c>
      <c r="C949" s="120">
        <v>0</v>
      </c>
      <c r="D949" s="61">
        <v>4</v>
      </c>
      <c r="E949" s="120">
        <v>1</v>
      </c>
      <c r="F949" s="120" t="s">
        <v>165</v>
      </c>
      <c r="G949" s="55">
        <v>5</v>
      </c>
      <c r="H949" s="120">
        <v>20</v>
      </c>
      <c r="I949" s="57">
        <v>100</v>
      </c>
      <c r="J949" s="120">
        <v>110</v>
      </c>
      <c r="K949" s="120">
        <v>4</v>
      </c>
      <c r="L949" s="120">
        <v>100</v>
      </c>
      <c r="M949" s="120">
        <v>-9999</v>
      </c>
      <c r="N949" s="120">
        <v>-9999</v>
      </c>
      <c r="O949" s="120">
        <v>2</v>
      </c>
      <c r="P949" s="120">
        <v>-9999</v>
      </c>
      <c r="Q949" s="120">
        <v>5.3000001907348597</v>
      </c>
      <c r="R949" s="120">
        <v>4.5999999046325701</v>
      </c>
      <c r="S949" s="148">
        <v>22.600000381469702</v>
      </c>
      <c r="T949" s="120">
        <v>-9999</v>
      </c>
      <c r="U949" s="120">
        <v>15</v>
      </c>
      <c r="V949" s="120">
        <v>-9999</v>
      </c>
      <c r="W949" s="120">
        <v>-9999</v>
      </c>
      <c r="X949" s="120">
        <v>-9999</v>
      </c>
      <c r="Y949" s="120">
        <v>-9999</v>
      </c>
      <c r="Z949" s="120">
        <v>-9999</v>
      </c>
      <c r="AA949" s="120">
        <v>68</v>
      </c>
      <c r="AB949" s="120">
        <v>14.5</v>
      </c>
      <c r="AC949" s="120">
        <v>948</v>
      </c>
      <c r="AD949" s="120">
        <v>2220</v>
      </c>
      <c r="AE949" s="120">
        <v>-9999</v>
      </c>
      <c r="AF949" s="120">
        <v>-9999</v>
      </c>
      <c r="AG949" s="120">
        <v>-9999</v>
      </c>
    </row>
    <row r="950" spans="1:33" x14ac:dyDescent="0.25">
      <c r="A950" s="120">
        <v>949</v>
      </c>
      <c r="B950" s="120" t="b">
        <v>0</v>
      </c>
      <c r="C950" s="120">
        <v>0</v>
      </c>
      <c r="D950" s="61">
        <v>4</v>
      </c>
      <c r="E950" s="120">
        <v>1</v>
      </c>
      <c r="F950" s="120" t="s">
        <v>165</v>
      </c>
      <c r="G950" s="55">
        <v>5</v>
      </c>
      <c r="H950" s="120">
        <v>19</v>
      </c>
      <c r="I950" s="57">
        <v>110</v>
      </c>
      <c r="J950" s="120">
        <v>120</v>
      </c>
      <c r="K950" s="120">
        <v>4</v>
      </c>
      <c r="L950" s="120">
        <v>100</v>
      </c>
      <c r="M950" s="120">
        <v>-9999</v>
      </c>
      <c r="N950" s="120">
        <v>-9999</v>
      </c>
      <c r="O950" s="120">
        <v>2</v>
      </c>
      <c r="P950" s="120">
        <v>-9999</v>
      </c>
      <c r="Q950" s="120">
        <v>5.3000001907348597</v>
      </c>
      <c r="R950" s="120">
        <v>4.5999999046325701</v>
      </c>
      <c r="S950" s="148">
        <v>24.100000381469702</v>
      </c>
      <c r="T950" s="120">
        <v>-9999</v>
      </c>
      <c r="U950" s="120">
        <v>15</v>
      </c>
      <c r="V950" s="120">
        <v>-9999</v>
      </c>
      <c r="W950" s="120">
        <v>-9999</v>
      </c>
      <c r="X950" s="120">
        <v>-9999</v>
      </c>
      <c r="Y950" s="120">
        <v>-9999</v>
      </c>
      <c r="Z950" s="120">
        <v>-9999</v>
      </c>
      <c r="AA950" s="120">
        <v>68</v>
      </c>
      <c r="AB950" s="120">
        <v>14.5</v>
      </c>
      <c r="AC950" s="120">
        <v>949</v>
      </c>
      <c r="AD950" s="120">
        <v>2221</v>
      </c>
      <c r="AE950" s="120">
        <v>-9999</v>
      </c>
      <c r="AF950" s="120">
        <v>-9999</v>
      </c>
      <c r="AG950" s="120">
        <v>-9999</v>
      </c>
    </row>
    <row r="951" spans="1:33" x14ac:dyDescent="0.25">
      <c r="A951" s="120">
        <v>950</v>
      </c>
      <c r="B951" s="120" t="b">
        <v>0</v>
      </c>
      <c r="C951" s="120">
        <v>0</v>
      </c>
      <c r="D951" s="61">
        <v>4</v>
      </c>
      <c r="E951" s="120">
        <v>1</v>
      </c>
      <c r="F951" s="120" t="s">
        <v>165</v>
      </c>
      <c r="G951" s="55">
        <v>5</v>
      </c>
      <c r="H951" s="120">
        <v>18</v>
      </c>
      <c r="I951" s="57">
        <v>120</v>
      </c>
      <c r="J951" s="120">
        <v>130</v>
      </c>
      <c r="K951" s="120">
        <v>4</v>
      </c>
      <c r="L951" s="120">
        <v>100</v>
      </c>
      <c r="M951" s="120">
        <v>-9999</v>
      </c>
      <c r="N951" s="120">
        <v>-9999</v>
      </c>
      <c r="O951" s="120">
        <v>2</v>
      </c>
      <c r="P951" s="120">
        <v>-9999</v>
      </c>
      <c r="Q951" s="120">
        <v>5.3000001907348597</v>
      </c>
      <c r="R951" s="120">
        <v>4.5999999046325701</v>
      </c>
      <c r="S951" s="148">
        <v>25.700000762939499</v>
      </c>
      <c r="T951" s="120">
        <v>-9999</v>
      </c>
      <c r="U951" s="120">
        <v>15</v>
      </c>
      <c r="V951" s="120">
        <v>-9999</v>
      </c>
      <c r="W951" s="120">
        <v>-9999</v>
      </c>
      <c r="X951" s="120">
        <v>-9999</v>
      </c>
      <c r="Y951" s="120">
        <v>-9999</v>
      </c>
      <c r="Z951" s="120">
        <v>-9999</v>
      </c>
      <c r="AA951" s="120">
        <v>68</v>
      </c>
      <c r="AB951" s="120">
        <v>14.5</v>
      </c>
      <c r="AC951" s="120">
        <v>950</v>
      </c>
      <c r="AD951" s="120">
        <v>2222</v>
      </c>
      <c r="AE951" s="120">
        <v>-9999</v>
      </c>
      <c r="AF951" s="120">
        <v>-9999</v>
      </c>
      <c r="AG951" s="120">
        <v>-9999</v>
      </c>
    </row>
    <row r="952" spans="1:33" x14ac:dyDescent="0.25">
      <c r="A952" s="120">
        <v>951</v>
      </c>
      <c r="B952" s="120" t="b">
        <v>0</v>
      </c>
      <c r="C952" s="120">
        <v>0</v>
      </c>
      <c r="D952" s="61">
        <v>4</v>
      </c>
      <c r="E952" s="120">
        <v>1</v>
      </c>
      <c r="F952" s="120" t="s">
        <v>165</v>
      </c>
      <c r="G952" s="55">
        <v>5</v>
      </c>
      <c r="H952" s="120">
        <v>17</v>
      </c>
      <c r="I952" s="57">
        <v>125</v>
      </c>
      <c r="J952" s="120">
        <v>135</v>
      </c>
      <c r="K952" s="120">
        <v>4</v>
      </c>
      <c r="L952" s="120">
        <v>100</v>
      </c>
      <c r="M952" s="120">
        <v>-9999</v>
      </c>
      <c r="N952" s="120">
        <v>-9999</v>
      </c>
      <c r="O952" s="120">
        <v>2</v>
      </c>
      <c r="P952" s="120">
        <v>-9999</v>
      </c>
      <c r="Q952" s="120">
        <v>5.3000001907348597</v>
      </c>
      <c r="R952" s="120">
        <v>4.5999999046325701</v>
      </c>
      <c r="S952" s="148">
        <v>26.399999618530298</v>
      </c>
      <c r="T952" s="120">
        <v>-9999</v>
      </c>
      <c r="U952" s="120">
        <v>15</v>
      </c>
      <c r="V952" s="120">
        <v>-9999</v>
      </c>
      <c r="W952" s="120">
        <v>-9999</v>
      </c>
      <c r="X952" s="120">
        <v>-9999</v>
      </c>
      <c r="Y952" s="120">
        <v>-9999</v>
      </c>
      <c r="Z952" s="120">
        <v>-9999</v>
      </c>
      <c r="AA952" s="120">
        <v>68</v>
      </c>
      <c r="AB952" s="120">
        <v>14.5</v>
      </c>
      <c r="AC952" s="120">
        <v>951</v>
      </c>
      <c r="AD952" s="120">
        <v>2223</v>
      </c>
      <c r="AE952" s="120">
        <v>-9999</v>
      </c>
      <c r="AF952" s="120">
        <v>-9999</v>
      </c>
      <c r="AG952" s="120">
        <v>-9999</v>
      </c>
    </row>
    <row r="953" spans="1:33" x14ac:dyDescent="0.25">
      <c r="A953" s="120">
        <v>952</v>
      </c>
      <c r="B953" s="120" t="b">
        <v>0</v>
      </c>
      <c r="C953" s="120">
        <v>0</v>
      </c>
      <c r="D953" s="61">
        <v>4</v>
      </c>
      <c r="E953" s="120">
        <v>1</v>
      </c>
      <c r="F953" s="120" t="s">
        <v>166</v>
      </c>
      <c r="G953" s="55">
        <v>7.5</v>
      </c>
      <c r="H953" s="120">
        <v>54</v>
      </c>
      <c r="I953" s="57">
        <v>30</v>
      </c>
      <c r="J953" s="120">
        <v>40</v>
      </c>
      <c r="K953" s="120">
        <v>4</v>
      </c>
      <c r="L953" s="120">
        <v>100</v>
      </c>
      <c r="M953" s="120">
        <v>-9999</v>
      </c>
      <c r="N953" s="120">
        <v>-9999</v>
      </c>
      <c r="O953" s="120">
        <v>2</v>
      </c>
      <c r="P953" s="120">
        <v>-9999</v>
      </c>
      <c r="Q953" s="120">
        <v>6.8000001907348597</v>
      </c>
      <c r="R953" s="120">
        <v>5.8000001907348597</v>
      </c>
      <c r="S953" s="148">
        <v>10.699999809265099</v>
      </c>
      <c r="T953" s="120">
        <v>-9999</v>
      </c>
      <c r="U953" s="120">
        <v>15</v>
      </c>
      <c r="V953" s="120">
        <v>-9999</v>
      </c>
      <c r="W953" s="120">
        <v>-9999</v>
      </c>
      <c r="X953" s="120">
        <v>-9999</v>
      </c>
      <c r="Y953" s="120">
        <v>-9999</v>
      </c>
      <c r="Z953" s="120">
        <v>-9999</v>
      </c>
      <c r="AA953" s="120">
        <v>68</v>
      </c>
      <c r="AB953" s="120">
        <v>14.5</v>
      </c>
      <c r="AC953" s="120">
        <v>952</v>
      </c>
      <c r="AD953" s="120">
        <v>2224</v>
      </c>
      <c r="AE953" s="120">
        <v>-9999</v>
      </c>
      <c r="AF953" s="120">
        <v>-9999</v>
      </c>
      <c r="AG953" s="120">
        <v>-9999</v>
      </c>
    </row>
    <row r="954" spans="1:33" x14ac:dyDescent="0.25">
      <c r="A954" s="120">
        <v>953</v>
      </c>
      <c r="B954" s="120" t="b">
        <v>0</v>
      </c>
      <c r="C954" s="120">
        <v>0</v>
      </c>
      <c r="D954" s="61">
        <v>4</v>
      </c>
      <c r="E954" s="120">
        <v>1</v>
      </c>
      <c r="F954" s="120" t="s">
        <v>166</v>
      </c>
      <c r="G954" s="55">
        <v>7.5</v>
      </c>
      <c r="H954" s="120">
        <v>48</v>
      </c>
      <c r="I954" s="57">
        <v>40</v>
      </c>
      <c r="J954" s="120">
        <v>50</v>
      </c>
      <c r="K954" s="120">
        <v>4</v>
      </c>
      <c r="L954" s="120">
        <v>100</v>
      </c>
      <c r="M954" s="120">
        <v>-9999</v>
      </c>
      <c r="N954" s="120">
        <v>-9999</v>
      </c>
      <c r="O954" s="120">
        <v>2</v>
      </c>
      <c r="P954" s="120">
        <v>-9999</v>
      </c>
      <c r="Q954" s="120">
        <v>7.0999999046325701</v>
      </c>
      <c r="R954" s="120">
        <v>6.0999999046325701</v>
      </c>
      <c r="S954" s="148">
        <v>12.699999809265099</v>
      </c>
      <c r="T954" s="120">
        <v>-9999</v>
      </c>
      <c r="U954" s="120">
        <v>15</v>
      </c>
      <c r="V954" s="120">
        <v>-9999</v>
      </c>
      <c r="W954" s="120">
        <v>-9999</v>
      </c>
      <c r="X954" s="120">
        <v>-9999</v>
      </c>
      <c r="Y954" s="120">
        <v>-9999</v>
      </c>
      <c r="Z954" s="120">
        <v>-9999</v>
      </c>
      <c r="AA954" s="120">
        <v>68</v>
      </c>
      <c r="AB954" s="120">
        <v>14.5</v>
      </c>
      <c r="AC954" s="120">
        <v>953</v>
      </c>
      <c r="AD954" s="120">
        <v>2225</v>
      </c>
      <c r="AE954" s="120">
        <v>-9999</v>
      </c>
      <c r="AF954" s="120">
        <v>-9999</v>
      </c>
      <c r="AG954" s="120">
        <v>-9999</v>
      </c>
    </row>
    <row r="955" spans="1:33" x14ac:dyDescent="0.25">
      <c r="A955" s="120">
        <v>954</v>
      </c>
      <c r="B955" s="120" t="b">
        <v>0</v>
      </c>
      <c r="C955" s="120">
        <v>0</v>
      </c>
      <c r="D955" s="61">
        <v>4</v>
      </c>
      <c r="E955" s="120">
        <v>1</v>
      </c>
      <c r="F955" s="120" t="s">
        <v>166</v>
      </c>
      <c r="G955" s="55">
        <v>7.5</v>
      </c>
      <c r="H955" s="120">
        <v>44</v>
      </c>
      <c r="I955" s="57">
        <v>50</v>
      </c>
      <c r="J955" s="120">
        <v>60</v>
      </c>
      <c r="K955" s="120">
        <v>4</v>
      </c>
      <c r="L955" s="120">
        <v>100</v>
      </c>
      <c r="M955" s="120">
        <v>-9999</v>
      </c>
      <c r="N955" s="120">
        <v>-9999</v>
      </c>
      <c r="O955" s="120">
        <v>2</v>
      </c>
      <c r="P955" s="120">
        <v>-9999</v>
      </c>
      <c r="Q955" s="120">
        <v>7.4000000953674299</v>
      </c>
      <c r="R955" s="120">
        <v>6.3000001907348597</v>
      </c>
      <c r="S955" s="148">
        <v>14.300000190734901</v>
      </c>
      <c r="T955" s="120">
        <v>-9999</v>
      </c>
      <c r="U955" s="120">
        <v>15</v>
      </c>
      <c r="V955" s="120">
        <v>-9999</v>
      </c>
      <c r="W955" s="120">
        <v>-9999</v>
      </c>
      <c r="X955" s="120">
        <v>-9999</v>
      </c>
      <c r="Y955" s="120">
        <v>-9999</v>
      </c>
      <c r="Z955" s="120">
        <v>-9999</v>
      </c>
      <c r="AA955" s="120">
        <v>68</v>
      </c>
      <c r="AB955" s="120">
        <v>14.5</v>
      </c>
      <c r="AC955" s="120">
        <v>954</v>
      </c>
      <c r="AD955" s="120">
        <v>2226</v>
      </c>
      <c r="AE955" s="120">
        <v>-9999</v>
      </c>
      <c r="AF955" s="120">
        <v>-9999</v>
      </c>
      <c r="AG955" s="120">
        <v>-9999</v>
      </c>
    </row>
    <row r="956" spans="1:33" x14ac:dyDescent="0.25">
      <c r="A956" s="120">
        <v>955</v>
      </c>
      <c r="B956" s="120" t="b">
        <v>0</v>
      </c>
      <c r="C956" s="120">
        <v>0</v>
      </c>
      <c r="D956" s="61">
        <v>4</v>
      </c>
      <c r="E956" s="120">
        <v>1</v>
      </c>
      <c r="F956" s="120" t="s">
        <v>166</v>
      </c>
      <c r="G956" s="55">
        <v>7.5</v>
      </c>
      <c r="H956" s="120">
        <v>41</v>
      </c>
      <c r="I956" s="57">
        <v>60</v>
      </c>
      <c r="J956" s="120">
        <v>70</v>
      </c>
      <c r="K956" s="120">
        <v>4</v>
      </c>
      <c r="L956" s="120">
        <v>100</v>
      </c>
      <c r="M956" s="120">
        <v>-9999</v>
      </c>
      <c r="N956" s="120">
        <v>-9999</v>
      </c>
      <c r="O956" s="120">
        <v>2</v>
      </c>
      <c r="P956" s="120">
        <v>-9999</v>
      </c>
      <c r="Q956" s="120">
        <v>7.5</v>
      </c>
      <c r="R956" s="120">
        <v>6.5</v>
      </c>
      <c r="S956" s="148">
        <v>15.800000190734901</v>
      </c>
      <c r="T956" s="120">
        <v>-9999</v>
      </c>
      <c r="U956" s="120">
        <v>15</v>
      </c>
      <c r="V956" s="120">
        <v>-9999</v>
      </c>
      <c r="W956" s="120">
        <v>-9999</v>
      </c>
      <c r="X956" s="120">
        <v>-9999</v>
      </c>
      <c r="Y956" s="120">
        <v>-9999</v>
      </c>
      <c r="Z956" s="120">
        <v>-9999</v>
      </c>
      <c r="AA956" s="120">
        <v>68</v>
      </c>
      <c r="AB956" s="120">
        <v>14.5</v>
      </c>
      <c r="AC956" s="120">
        <v>955</v>
      </c>
      <c r="AD956" s="120">
        <v>2227</v>
      </c>
      <c r="AE956" s="120">
        <v>-9999</v>
      </c>
      <c r="AF956" s="120">
        <v>-9999</v>
      </c>
      <c r="AG956" s="120">
        <v>-9999</v>
      </c>
    </row>
    <row r="957" spans="1:33" x14ac:dyDescent="0.25">
      <c r="A957" s="120">
        <v>956</v>
      </c>
      <c r="B957" s="120" t="b">
        <v>0</v>
      </c>
      <c r="C957" s="120">
        <v>0</v>
      </c>
      <c r="D957" s="61">
        <v>4</v>
      </c>
      <c r="E957" s="120">
        <v>1</v>
      </c>
      <c r="F957" s="120" t="s">
        <v>166</v>
      </c>
      <c r="G957" s="55">
        <v>7.5</v>
      </c>
      <c r="H957" s="120">
        <v>38</v>
      </c>
      <c r="I957" s="57">
        <v>70</v>
      </c>
      <c r="J957" s="120">
        <v>80</v>
      </c>
      <c r="K957" s="120">
        <v>4</v>
      </c>
      <c r="L957" s="120">
        <v>100</v>
      </c>
      <c r="M957" s="120">
        <v>-9999</v>
      </c>
      <c r="N957" s="120">
        <v>-9999</v>
      </c>
      <c r="O957" s="120">
        <v>2</v>
      </c>
      <c r="P957" s="120">
        <v>-9999</v>
      </c>
      <c r="Q957" s="120">
        <v>7.5999999046325701</v>
      </c>
      <c r="R957" s="120">
        <v>6.5999999046325701</v>
      </c>
      <c r="S957" s="148">
        <v>17.399999618530298</v>
      </c>
      <c r="T957" s="120">
        <v>-9999</v>
      </c>
      <c r="U957" s="120">
        <v>15</v>
      </c>
      <c r="V957" s="120">
        <v>-9999</v>
      </c>
      <c r="W957" s="120">
        <v>-9999</v>
      </c>
      <c r="X957" s="120">
        <v>-9999</v>
      </c>
      <c r="Y957" s="120">
        <v>-9999</v>
      </c>
      <c r="Z957" s="120">
        <v>-9999</v>
      </c>
      <c r="AA957" s="120">
        <v>68</v>
      </c>
      <c r="AB957" s="120">
        <v>14.5</v>
      </c>
      <c r="AC957" s="120">
        <v>956</v>
      </c>
      <c r="AD957" s="120">
        <v>2228</v>
      </c>
      <c r="AE957" s="120">
        <v>-9999</v>
      </c>
      <c r="AF957" s="120">
        <v>-9999</v>
      </c>
      <c r="AG957" s="120">
        <v>-9999</v>
      </c>
    </row>
    <row r="958" spans="1:33" x14ac:dyDescent="0.25">
      <c r="A958" s="120">
        <v>957</v>
      </c>
      <c r="B958" s="120" t="b">
        <v>0</v>
      </c>
      <c r="C958" s="120">
        <v>0</v>
      </c>
      <c r="D958" s="61">
        <v>4</v>
      </c>
      <c r="E958" s="120">
        <v>1</v>
      </c>
      <c r="F958" s="120" t="s">
        <v>166</v>
      </c>
      <c r="G958" s="55">
        <v>7.5</v>
      </c>
      <c r="H958" s="120">
        <v>35</v>
      </c>
      <c r="I958" s="57">
        <v>80</v>
      </c>
      <c r="J958" s="120">
        <v>90</v>
      </c>
      <c r="K958" s="120">
        <v>4</v>
      </c>
      <c r="L958" s="120">
        <v>100</v>
      </c>
      <c r="M958" s="120">
        <v>-9999</v>
      </c>
      <c r="N958" s="120">
        <v>-9999</v>
      </c>
      <c r="O958" s="120">
        <v>2</v>
      </c>
      <c r="P958" s="120">
        <v>-9999</v>
      </c>
      <c r="Q958" s="120">
        <v>7.6999998092651403</v>
      </c>
      <c r="R958" s="120">
        <v>6.5999999046325701</v>
      </c>
      <c r="S958" s="148">
        <v>18.899999618530298</v>
      </c>
      <c r="T958" s="120">
        <v>-9999</v>
      </c>
      <c r="U958" s="120">
        <v>15</v>
      </c>
      <c r="V958" s="120">
        <v>-9999</v>
      </c>
      <c r="W958" s="120">
        <v>-9999</v>
      </c>
      <c r="X958" s="120">
        <v>-9999</v>
      </c>
      <c r="Y958" s="120">
        <v>-9999</v>
      </c>
      <c r="Z958" s="120">
        <v>-9999</v>
      </c>
      <c r="AA958" s="120">
        <v>68</v>
      </c>
      <c r="AB958" s="120">
        <v>14.5</v>
      </c>
      <c r="AC958" s="120">
        <v>957</v>
      </c>
      <c r="AD958" s="120">
        <v>2229</v>
      </c>
      <c r="AE958" s="120">
        <v>-9999</v>
      </c>
      <c r="AF958" s="120">
        <v>-9999</v>
      </c>
      <c r="AG958" s="120">
        <v>-9999</v>
      </c>
    </row>
    <row r="959" spans="1:33" x14ac:dyDescent="0.25">
      <c r="A959" s="120">
        <v>958</v>
      </c>
      <c r="B959" s="120" t="b">
        <v>0</v>
      </c>
      <c r="C959" s="120">
        <v>0</v>
      </c>
      <c r="D959" s="61">
        <v>4</v>
      </c>
      <c r="E959" s="120">
        <v>1</v>
      </c>
      <c r="F959" s="120" t="s">
        <v>166</v>
      </c>
      <c r="G959" s="55">
        <v>7.5</v>
      </c>
      <c r="H959" s="120">
        <v>33</v>
      </c>
      <c r="I959" s="57">
        <v>90</v>
      </c>
      <c r="J959" s="120">
        <v>100</v>
      </c>
      <c r="K959" s="120">
        <v>4</v>
      </c>
      <c r="L959" s="120">
        <v>100</v>
      </c>
      <c r="M959" s="120">
        <v>-9999</v>
      </c>
      <c r="N959" s="120">
        <v>-9999</v>
      </c>
      <c r="O959" s="120">
        <v>2</v>
      </c>
      <c r="P959" s="120">
        <v>-9999</v>
      </c>
      <c r="Q959" s="120">
        <v>7.8000001907348597</v>
      </c>
      <c r="R959" s="120">
        <v>6.6999998092651403</v>
      </c>
      <c r="S959" s="148">
        <v>20.600000381469702</v>
      </c>
      <c r="T959" s="120">
        <v>-9999</v>
      </c>
      <c r="U959" s="120">
        <v>15</v>
      </c>
      <c r="V959" s="120">
        <v>-9999</v>
      </c>
      <c r="W959" s="120">
        <v>-9999</v>
      </c>
      <c r="X959" s="120">
        <v>-9999</v>
      </c>
      <c r="Y959" s="120">
        <v>-9999</v>
      </c>
      <c r="Z959" s="120">
        <v>-9999</v>
      </c>
      <c r="AA959" s="120">
        <v>68</v>
      </c>
      <c r="AB959" s="120">
        <v>14.5</v>
      </c>
      <c r="AC959" s="120">
        <v>958</v>
      </c>
      <c r="AD959" s="120">
        <v>2230</v>
      </c>
      <c r="AE959" s="120">
        <v>-9999</v>
      </c>
      <c r="AF959" s="120">
        <v>-9999</v>
      </c>
      <c r="AG959" s="120">
        <v>-9999</v>
      </c>
    </row>
    <row r="960" spans="1:33" x14ac:dyDescent="0.25">
      <c r="A960" s="120">
        <v>959</v>
      </c>
      <c r="B960" s="120" t="b">
        <v>0</v>
      </c>
      <c r="C960" s="120">
        <v>0</v>
      </c>
      <c r="D960" s="61">
        <v>4</v>
      </c>
      <c r="E960" s="120">
        <v>1</v>
      </c>
      <c r="F960" s="120" t="s">
        <v>166</v>
      </c>
      <c r="G960" s="55">
        <v>7.5</v>
      </c>
      <c r="H960" s="120">
        <v>31</v>
      </c>
      <c r="I960" s="57">
        <v>100</v>
      </c>
      <c r="J960" s="120">
        <v>110</v>
      </c>
      <c r="K960" s="120">
        <v>4</v>
      </c>
      <c r="L960" s="120">
        <v>100</v>
      </c>
      <c r="M960" s="120">
        <v>-9999</v>
      </c>
      <c r="N960" s="120">
        <v>-9999</v>
      </c>
      <c r="O960" s="120">
        <v>2</v>
      </c>
      <c r="P960" s="120">
        <v>-9999</v>
      </c>
      <c r="Q960" s="120">
        <v>7.9000000953674299</v>
      </c>
      <c r="R960" s="120">
        <v>6.8000001907348597</v>
      </c>
      <c r="S960" s="148">
        <v>22.200000762939499</v>
      </c>
      <c r="T960" s="120">
        <v>-9999</v>
      </c>
      <c r="U960" s="120">
        <v>15</v>
      </c>
      <c r="V960" s="120">
        <v>-9999</v>
      </c>
      <c r="W960" s="120">
        <v>-9999</v>
      </c>
      <c r="X960" s="120">
        <v>-9999</v>
      </c>
      <c r="Y960" s="120">
        <v>-9999</v>
      </c>
      <c r="Z960" s="120">
        <v>-9999</v>
      </c>
      <c r="AA960" s="120">
        <v>68</v>
      </c>
      <c r="AB960" s="120">
        <v>14.5</v>
      </c>
      <c r="AC960" s="120">
        <v>959</v>
      </c>
      <c r="AD960" s="120">
        <v>2231</v>
      </c>
      <c r="AE960" s="120">
        <v>-9999</v>
      </c>
      <c r="AF960" s="120">
        <v>-9999</v>
      </c>
      <c r="AG960" s="120">
        <v>-9999</v>
      </c>
    </row>
    <row r="961" spans="1:33" x14ac:dyDescent="0.25">
      <c r="A961" s="120">
        <v>960</v>
      </c>
      <c r="B961" s="120" t="b">
        <v>0</v>
      </c>
      <c r="C961" s="120">
        <v>0</v>
      </c>
      <c r="D961" s="61">
        <v>4</v>
      </c>
      <c r="E961" s="120">
        <v>1</v>
      </c>
      <c r="F961" s="120" t="s">
        <v>166</v>
      </c>
      <c r="G961" s="55">
        <v>7.5</v>
      </c>
      <c r="H961" s="120">
        <v>29</v>
      </c>
      <c r="I961" s="57">
        <v>110</v>
      </c>
      <c r="J961" s="120">
        <v>120</v>
      </c>
      <c r="K961" s="120">
        <v>4</v>
      </c>
      <c r="L961" s="120">
        <v>100</v>
      </c>
      <c r="M961" s="120">
        <v>-9999</v>
      </c>
      <c r="N961" s="120">
        <v>-9999</v>
      </c>
      <c r="O961" s="120">
        <v>2</v>
      </c>
      <c r="P961" s="120">
        <v>-9999</v>
      </c>
      <c r="Q961" s="120">
        <v>7.9000000953674299</v>
      </c>
      <c r="R961" s="120">
        <v>6.8000001907348597</v>
      </c>
      <c r="S961" s="148">
        <v>23.700000762939499</v>
      </c>
      <c r="T961" s="120">
        <v>-9999</v>
      </c>
      <c r="U961" s="120">
        <v>15</v>
      </c>
      <c r="V961" s="120">
        <v>-9999</v>
      </c>
      <c r="W961" s="120">
        <v>-9999</v>
      </c>
      <c r="X961" s="120">
        <v>-9999</v>
      </c>
      <c r="Y961" s="120">
        <v>-9999</v>
      </c>
      <c r="Z961" s="120">
        <v>-9999</v>
      </c>
      <c r="AA961" s="120">
        <v>68</v>
      </c>
      <c r="AB961" s="120">
        <v>14.5</v>
      </c>
      <c r="AC961" s="120">
        <v>960</v>
      </c>
      <c r="AD961" s="120">
        <v>2232</v>
      </c>
      <c r="AE961" s="120">
        <v>-9999</v>
      </c>
      <c r="AF961" s="120">
        <v>-9999</v>
      </c>
      <c r="AG961" s="120">
        <v>-9999</v>
      </c>
    </row>
    <row r="962" spans="1:33" x14ac:dyDescent="0.25">
      <c r="A962" s="120">
        <v>961</v>
      </c>
      <c r="B962" s="120" t="b">
        <v>0</v>
      </c>
      <c r="C962" s="120">
        <v>0</v>
      </c>
      <c r="D962" s="61">
        <v>4</v>
      </c>
      <c r="E962" s="120">
        <v>1</v>
      </c>
      <c r="F962" s="120" t="s">
        <v>166</v>
      </c>
      <c r="G962" s="55">
        <v>7.5</v>
      </c>
      <c r="H962" s="120">
        <v>27</v>
      </c>
      <c r="I962" s="57">
        <v>120</v>
      </c>
      <c r="J962" s="120">
        <v>130</v>
      </c>
      <c r="K962" s="120">
        <v>4</v>
      </c>
      <c r="L962" s="120">
        <v>100</v>
      </c>
      <c r="M962" s="120">
        <v>-9999</v>
      </c>
      <c r="N962" s="120">
        <v>-9999</v>
      </c>
      <c r="O962" s="120">
        <v>2</v>
      </c>
      <c r="P962" s="120">
        <v>-9999</v>
      </c>
      <c r="Q962" s="120">
        <v>7.9000000953674299</v>
      </c>
      <c r="R962" s="120">
        <v>6.8000001907348597</v>
      </c>
      <c r="S962" s="148">
        <v>25.200000762939499</v>
      </c>
      <c r="T962" s="120">
        <v>-9999</v>
      </c>
      <c r="U962" s="120">
        <v>15</v>
      </c>
      <c r="V962" s="120">
        <v>-9999</v>
      </c>
      <c r="W962" s="120">
        <v>-9999</v>
      </c>
      <c r="X962" s="120">
        <v>-9999</v>
      </c>
      <c r="Y962" s="120">
        <v>-9999</v>
      </c>
      <c r="Z962" s="120">
        <v>-9999</v>
      </c>
      <c r="AA962" s="120">
        <v>68</v>
      </c>
      <c r="AB962" s="120">
        <v>14.5</v>
      </c>
      <c r="AC962" s="120">
        <v>961</v>
      </c>
      <c r="AD962" s="120">
        <v>2233</v>
      </c>
      <c r="AE962" s="120">
        <v>-9999</v>
      </c>
      <c r="AF962" s="120">
        <v>-9999</v>
      </c>
      <c r="AG962" s="120">
        <v>-9999</v>
      </c>
    </row>
    <row r="963" spans="1:33" x14ac:dyDescent="0.25">
      <c r="A963" s="120">
        <v>962</v>
      </c>
      <c r="B963" s="120" t="b">
        <v>0</v>
      </c>
      <c r="C963" s="120">
        <v>0</v>
      </c>
      <c r="D963" s="61">
        <v>4</v>
      </c>
      <c r="E963" s="120">
        <v>1</v>
      </c>
      <c r="F963" s="120" t="s">
        <v>166</v>
      </c>
      <c r="G963" s="55">
        <v>7.5</v>
      </c>
      <c r="H963" s="120">
        <v>26</v>
      </c>
      <c r="I963" s="57">
        <v>125</v>
      </c>
      <c r="J963" s="120">
        <v>135</v>
      </c>
      <c r="K963" s="120">
        <v>4</v>
      </c>
      <c r="L963" s="120">
        <v>100</v>
      </c>
      <c r="M963" s="120">
        <v>-9999</v>
      </c>
      <c r="N963" s="120">
        <v>-9999</v>
      </c>
      <c r="O963" s="120">
        <v>2</v>
      </c>
      <c r="P963" s="120">
        <v>-9999</v>
      </c>
      <c r="Q963" s="120">
        <v>7.9000000953674299</v>
      </c>
      <c r="R963" s="120">
        <v>6.8000001907348597</v>
      </c>
      <c r="S963" s="148">
        <v>25.899999618530298</v>
      </c>
      <c r="T963" s="120">
        <v>-9999</v>
      </c>
      <c r="U963" s="120">
        <v>15</v>
      </c>
      <c r="V963" s="120">
        <v>-9999</v>
      </c>
      <c r="W963" s="120">
        <v>-9999</v>
      </c>
      <c r="X963" s="120">
        <v>-9999</v>
      </c>
      <c r="Y963" s="120">
        <v>-9999</v>
      </c>
      <c r="Z963" s="120">
        <v>-9999</v>
      </c>
      <c r="AA963" s="120">
        <v>68</v>
      </c>
      <c r="AB963" s="120">
        <v>14.5</v>
      </c>
      <c r="AC963" s="120">
        <v>962</v>
      </c>
      <c r="AD963" s="120">
        <v>2234</v>
      </c>
      <c r="AE963" s="120">
        <v>-9999</v>
      </c>
      <c r="AF963" s="120">
        <v>-9999</v>
      </c>
      <c r="AG963" s="120">
        <v>-9999</v>
      </c>
    </row>
    <row r="964" spans="1:33" x14ac:dyDescent="0.25">
      <c r="A964" s="120">
        <v>963</v>
      </c>
      <c r="B964" s="120" t="b">
        <v>0</v>
      </c>
      <c r="C964" s="120">
        <v>0</v>
      </c>
      <c r="D964" s="61">
        <v>4</v>
      </c>
      <c r="E964" s="120">
        <v>1</v>
      </c>
      <c r="F964" s="120" t="s">
        <v>167</v>
      </c>
      <c r="G964" s="55">
        <v>10</v>
      </c>
      <c r="H964" s="120">
        <v>72</v>
      </c>
      <c r="I964" s="57">
        <v>30</v>
      </c>
      <c r="J964" s="120">
        <v>40</v>
      </c>
      <c r="K964" s="120">
        <v>4</v>
      </c>
      <c r="L964" s="120">
        <v>100</v>
      </c>
      <c r="M964" s="120">
        <v>-9999</v>
      </c>
      <c r="N964" s="120">
        <v>-9999</v>
      </c>
      <c r="O964" s="120">
        <v>2</v>
      </c>
      <c r="P964" s="120">
        <v>-9999</v>
      </c>
      <c r="Q964" s="120">
        <v>9</v>
      </c>
      <c r="R964" s="120">
        <v>7.6999998092651403</v>
      </c>
      <c r="S964" s="148">
        <v>10.6000003814697</v>
      </c>
      <c r="T964" s="120">
        <v>-9999</v>
      </c>
      <c r="U964" s="120">
        <v>15</v>
      </c>
      <c r="V964" s="120">
        <v>-9999</v>
      </c>
      <c r="W964" s="120">
        <v>-9999</v>
      </c>
      <c r="X964" s="120">
        <v>-9999</v>
      </c>
      <c r="Y964" s="120">
        <v>-9999</v>
      </c>
      <c r="Z964" s="120">
        <v>-9999</v>
      </c>
      <c r="AA964" s="120">
        <v>68</v>
      </c>
      <c r="AB964" s="120">
        <v>14.5</v>
      </c>
      <c r="AC964" s="120">
        <v>963</v>
      </c>
      <c r="AD964" s="120">
        <v>2235</v>
      </c>
      <c r="AE964" s="120">
        <v>-9999</v>
      </c>
      <c r="AF964" s="120">
        <v>-9999</v>
      </c>
      <c r="AG964" s="120">
        <v>-9999</v>
      </c>
    </row>
    <row r="965" spans="1:33" x14ac:dyDescent="0.25">
      <c r="A965" s="120">
        <v>964</v>
      </c>
      <c r="B965" s="120" t="b">
        <v>0</v>
      </c>
      <c r="C965" s="120">
        <v>0</v>
      </c>
      <c r="D965" s="61">
        <v>4</v>
      </c>
      <c r="E965" s="120">
        <v>1</v>
      </c>
      <c r="F965" s="120" t="s">
        <v>167</v>
      </c>
      <c r="G965" s="55">
        <v>10</v>
      </c>
      <c r="H965" s="120">
        <v>65</v>
      </c>
      <c r="I965" s="57">
        <v>40</v>
      </c>
      <c r="J965" s="120">
        <v>50</v>
      </c>
      <c r="K965" s="120">
        <v>4</v>
      </c>
      <c r="L965" s="120">
        <v>100</v>
      </c>
      <c r="M965" s="120">
        <v>-9999</v>
      </c>
      <c r="N965" s="120">
        <v>-9999</v>
      </c>
      <c r="O965" s="120">
        <v>2</v>
      </c>
      <c r="P965" s="120">
        <v>-9999</v>
      </c>
      <c r="Q965" s="120">
        <v>9.5</v>
      </c>
      <c r="R965" s="120">
        <v>8.1000003814697301</v>
      </c>
      <c r="S965" s="148">
        <v>12.6000003814697</v>
      </c>
      <c r="T965" s="120">
        <v>-9999</v>
      </c>
      <c r="U965" s="120">
        <v>15</v>
      </c>
      <c r="V965" s="120">
        <v>-9999</v>
      </c>
      <c r="W965" s="120">
        <v>-9999</v>
      </c>
      <c r="X965" s="120">
        <v>-9999</v>
      </c>
      <c r="Y965" s="120">
        <v>-9999</v>
      </c>
      <c r="Z965" s="120">
        <v>-9999</v>
      </c>
      <c r="AA965" s="120">
        <v>68</v>
      </c>
      <c r="AB965" s="120">
        <v>14.5</v>
      </c>
      <c r="AC965" s="120">
        <v>964</v>
      </c>
      <c r="AD965" s="120">
        <v>2236</v>
      </c>
      <c r="AE965" s="120">
        <v>-9999</v>
      </c>
      <c r="AF965" s="120">
        <v>-9999</v>
      </c>
      <c r="AG965" s="120">
        <v>-9999</v>
      </c>
    </row>
    <row r="966" spans="1:33" x14ac:dyDescent="0.25">
      <c r="A966" s="120">
        <v>965</v>
      </c>
      <c r="B966" s="120" t="b">
        <v>0</v>
      </c>
      <c r="C966" s="120">
        <v>0</v>
      </c>
      <c r="D966" s="61">
        <v>4</v>
      </c>
      <c r="E966" s="120">
        <v>1</v>
      </c>
      <c r="F966" s="120" t="s">
        <v>167</v>
      </c>
      <c r="G966" s="55">
        <v>10</v>
      </c>
      <c r="H966" s="120">
        <v>59</v>
      </c>
      <c r="I966" s="57">
        <v>50</v>
      </c>
      <c r="J966" s="120">
        <v>60</v>
      </c>
      <c r="K966" s="120">
        <v>4</v>
      </c>
      <c r="L966" s="120">
        <v>100</v>
      </c>
      <c r="M966" s="120">
        <v>-9999</v>
      </c>
      <c r="N966" s="120">
        <v>-9999</v>
      </c>
      <c r="O966" s="120">
        <v>2</v>
      </c>
      <c r="P966" s="120">
        <v>-9999</v>
      </c>
      <c r="Q966" s="120">
        <v>9.8000001907348597</v>
      </c>
      <c r="R966" s="120">
        <v>8.3999996185302699</v>
      </c>
      <c r="S966" s="148">
        <v>14.1000003814697</v>
      </c>
      <c r="T966" s="120">
        <v>-9999</v>
      </c>
      <c r="U966" s="120">
        <v>15</v>
      </c>
      <c r="V966" s="120">
        <v>-9999</v>
      </c>
      <c r="W966" s="120">
        <v>-9999</v>
      </c>
      <c r="X966" s="120">
        <v>-9999</v>
      </c>
      <c r="Y966" s="120">
        <v>-9999</v>
      </c>
      <c r="Z966" s="120">
        <v>-9999</v>
      </c>
      <c r="AA966" s="120">
        <v>68</v>
      </c>
      <c r="AB966" s="120">
        <v>14.5</v>
      </c>
      <c r="AC966" s="120">
        <v>965</v>
      </c>
      <c r="AD966" s="120">
        <v>2237</v>
      </c>
      <c r="AE966" s="120">
        <v>-9999</v>
      </c>
      <c r="AF966" s="120">
        <v>-9999</v>
      </c>
      <c r="AG966" s="120">
        <v>-9999</v>
      </c>
    </row>
    <row r="967" spans="1:33" x14ac:dyDescent="0.25">
      <c r="A967" s="120">
        <v>966</v>
      </c>
      <c r="B967" s="120" t="b">
        <v>0</v>
      </c>
      <c r="C967" s="120">
        <v>0</v>
      </c>
      <c r="D967" s="61">
        <v>4</v>
      </c>
      <c r="E967" s="120">
        <v>1</v>
      </c>
      <c r="F967" s="120" t="s">
        <v>167</v>
      </c>
      <c r="G967" s="55">
        <v>10</v>
      </c>
      <c r="H967" s="120">
        <v>55</v>
      </c>
      <c r="I967" s="57">
        <v>60</v>
      </c>
      <c r="J967" s="120">
        <v>70</v>
      </c>
      <c r="K967" s="120">
        <v>4</v>
      </c>
      <c r="L967" s="120">
        <v>100</v>
      </c>
      <c r="M967" s="120">
        <v>-9999</v>
      </c>
      <c r="N967" s="120">
        <v>-9999</v>
      </c>
      <c r="O967" s="120">
        <v>2</v>
      </c>
      <c r="P967" s="120">
        <v>-9999</v>
      </c>
      <c r="Q967" s="120">
        <v>10</v>
      </c>
      <c r="R967" s="120">
        <v>8.5</v>
      </c>
      <c r="S967" s="148">
        <v>15.6000003814697</v>
      </c>
      <c r="T967" s="120">
        <v>-9999</v>
      </c>
      <c r="U967" s="120">
        <v>15</v>
      </c>
      <c r="V967" s="120">
        <v>-9999</v>
      </c>
      <c r="W967" s="120">
        <v>-9999</v>
      </c>
      <c r="X967" s="120">
        <v>-9999</v>
      </c>
      <c r="Y967" s="120">
        <v>-9999</v>
      </c>
      <c r="Z967" s="120">
        <v>-9999</v>
      </c>
      <c r="AA967" s="120">
        <v>68</v>
      </c>
      <c r="AB967" s="120">
        <v>14.5</v>
      </c>
      <c r="AC967" s="120">
        <v>966</v>
      </c>
      <c r="AD967" s="120">
        <v>2238</v>
      </c>
      <c r="AE967" s="120">
        <v>-9999</v>
      </c>
      <c r="AF967" s="120">
        <v>-9999</v>
      </c>
      <c r="AG967" s="120">
        <v>-9999</v>
      </c>
    </row>
    <row r="968" spans="1:33" x14ac:dyDescent="0.25">
      <c r="A968" s="120">
        <v>967</v>
      </c>
      <c r="B968" s="120" t="b">
        <v>0</v>
      </c>
      <c r="C968" s="120">
        <v>0</v>
      </c>
      <c r="D968" s="61">
        <v>4</v>
      </c>
      <c r="E968" s="120">
        <v>1</v>
      </c>
      <c r="F968" s="120" t="s">
        <v>167</v>
      </c>
      <c r="G968" s="55">
        <v>10</v>
      </c>
      <c r="H968" s="120">
        <v>50</v>
      </c>
      <c r="I968" s="57">
        <v>70</v>
      </c>
      <c r="J968" s="120">
        <v>80</v>
      </c>
      <c r="K968" s="120">
        <v>4</v>
      </c>
      <c r="L968" s="120">
        <v>100</v>
      </c>
      <c r="M968" s="120">
        <v>-9999</v>
      </c>
      <c r="N968" s="120">
        <v>-9999</v>
      </c>
      <c r="O968" s="120">
        <v>2</v>
      </c>
      <c r="P968" s="120">
        <v>-9999</v>
      </c>
      <c r="Q968" s="120">
        <v>10.199999809265099</v>
      </c>
      <c r="R968" s="120">
        <v>8.6999998092651403</v>
      </c>
      <c r="S968" s="148">
        <v>17.200000762939499</v>
      </c>
      <c r="T968" s="120">
        <v>-9999</v>
      </c>
      <c r="U968" s="120">
        <v>15</v>
      </c>
      <c r="V968" s="120">
        <v>-9999</v>
      </c>
      <c r="W968" s="120">
        <v>-9999</v>
      </c>
      <c r="X968" s="120">
        <v>-9999</v>
      </c>
      <c r="Y968" s="120">
        <v>-9999</v>
      </c>
      <c r="Z968" s="120">
        <v>-9999</v>
      </c>
      <c r="AA968" s="120">
        <v>68</v>
      </c>
      <c r="AB968" s="120">
        <v>14.5</v>
      </c>
      <c r="AC968" s="120">
        <v>967</v>
      </c>
      <c r="AD968" s="120">
        <v>2239</v>
      </c>
      <c r="AE968" s="120">
        <v>-9999</v>
      </c>
      <c r="AF968" s="120">
        <v>-9999</v>
      </c>
      <c r="AG968" s="120">
        <v>-9999</v>
      </c>
    </row>
    <row r="969" spans="1:33" x14ac:dyDescent="0.25">
      <c r="A969" s="120">
        <v>968</v>
      </c>
      <c r="B969" s="120" t="b">
        <v>0</v>
      </c>
      <c r="C969" s="120">
        <v>0</v>
      </c>
      <c r="D969" s="61">
        <v>4</v>
      </c>
      <c r="E969" s="120">
        <v>1</v>
      </c>
      <c r="F969" s="120" t="s">
        <v>167</v>
      </c>
      <c r="G969" s="55">
        <v>10</v>
      </c>
      <c r="H969" s="120">
        <v>47</v>
      </c>
      <c r="I969" s="57">
        <v>80</v>
      </c>
      <c r="J969" s="120">
        <v>90</v>
      </c>
      <c r="K969" s="120">
        <v>4</v>
      </c>
      <c r="L969" s="120">
        <v>100</v>
      </c>
      <c r="M969" s="120">
        <v>-9999</v>
      </c>
      <c r="N969" s="120">
        <v>-9999</v>
      </c>
      <c r="O969" s="120">
        <v>2</v>
      </c>
      <c r="P969" s="120">
        <v>-9999</v>
      </c>
      <c r="Q969" s="120">
        <v>10.300000190734901</v>
      </c>
      <c r="R969" s="120">
        <v>8.8000001907348597</v>
      </c>
      <c r="S969" s="148">
        <v>18.700000762939499</v>
      </c>
      <c r="T969" s="120">
        <v>-9999</v>
      </c>
      <c r="U969" s="120">
        <v>15</v>
      </c>
      <c r="V969" s="120">
        <v>-9999</v>
      </c>
      <c r="W969" s="120">
        <v>-9999</v>
      </c>
      <c r="X969" s="120">
        <v>-9999</v>
      </c>
      <c r="Y969" s="120">
        <v>-9999</v>
      </c>
      <c r="Z969" s="120">
        <v>-9999</v>
      </c>
      <c r="AA969" s="120">
        <v>68</v>
      </c>
      <c r="AB969" s="120">
        <v>14.5</v>
      </c>
      <c r="AC969" s="120">
        <v>968</v>
      </c>
      <c r="AD969" s="120">
        <v>2240</v>
      </c>
      <c r="AE969" s="120">
        <v>-9999</v>
      </c>
      <c r="AF969" s="120">
        <v>-9999</v>
      </c>
      <c r="AG969" s="120">
        <v>-9999</v>
      </c>
    </row>
    <row r="970" spans="1:33" x14ac:dyDescent="0.25">
      <c r="A970" s="120">
        <v>969</v>
      </c>
      <c r="B970" s="120" t="b">
        <v>0</v>
      </c>
      <c r="C970" s="120">
        <v>0</v>
      </c>
      <c r="D970" s="61">
        <v>4</v>
      </c>
      <c r="E970" s="120">
        <v>1</v>
      </c>
      <c r="F970" s="120" t="s">
        <v>167</v>
      </c>
      <c r="G970" s="55">
        <v>10</v>
      </c>
      <c r="H970" s="120">
        <v>43</v>
      </c>
      <c r="I970" s="57">
        <v>90</v>
      </c>
      <c r="J970" s="120">
        <v>100</v>
      </c>
      <c r="K970" s="120">
        <v>4</v>
      </c>
      <c r="L970" s="120">
        <v>100</v>
      </c>
      <c r="M970" s="120">
        <v>-9999</v>
      </c>
      <c r="N970" s="120">
        <v>-9999</v>
      </c>
      <c r="O970" s="120">
        <v>2</v>
      </c>
      <c r="P970" s="120">
        <v>-9999</v>
      </c>
      <c r="Q970" s="120">
        <v>10.3999996185303</v>
      </c>
      <c r="R970" s="120">
        <v>8.8000001907348597</v>
      </c>
      <c r="S970" s="148">
        <v>20.399999618530298</v>
      </c>
      <c r="T970" s="120">
        <v>-9999</v>
      </c>
      <c r="U970" s="120">
        <v>15</v>
      </c>
      <c r="V970" s="120">
        <v>-9999</v>
      </c>
      <c r="W970" s="120">
        <v>-9999</v>
      </c>
      <c r="X970" s="120">
        <v>-9999</v>
      </c>
      <c r="Y970" s="120">
        <v>-9999</v>
      </c>
      <c r="Z970" s="120">
        <v>-9999</v>
      </c>
      <c r="AA970" s="120">
        <v>68</v>
      </c>
      <c r="AB970" s="120">
        <v>14.5</v>
      </c>
      <c r="AC970" s="120">
        <v>969</v>
      </c>
      <c r="AD970" s="120">
        <v>2241</v>
      </c>
      <c r="AE970" s="120">
        <v>-9999</v>
      </c>
      <c r="AF970" s="120">
        <v>-9999</v>
      </c>
      <c r="AG970" s="120">
        <v>-9999</v>
      </c>
    </row>
    <row r="971" spans="1:33" x14ac:dyDescent="0.25">
      <c r="A971" s="120">
        <v>970</v>
      </c>
      <c r="B971" s="120" t="b">
        <v>0</v>
      </c>
      <c r="C971" s="120">
        <v>0</v>
      </c>
      <c r="D971" s="61">
        <v>4</v>
      </c>
      <c r="E971" s="120">
        <v>1</v>
      </c>
      <c r="F971" s="120" t="s">
        <v>167</v>
      </c>
      <c r="G971" s="55">
        <v>10</v>
      </c>
      <c r="H971" s="120">
        <v>41</v>
      </c>
      <c r="I971" s="57">
        <v>100</v>
      </c>
      <c r="J971" s="120">
        <v>110</v>
      </c>
      <c r="K971" s="120">
        <v>4</v>
      </c>
      <c r="L971" s="120">
        <v>100</v>
      </c>
      <c r="M971" s="120">
        <v>-9999</v>
      </c>
      <c r="N971" s="120">
        <v>-9999</v>
      </c>
      <c r="O971" s="120">
        <v>2</v>
      </c>
      <c r="P971" s="120">
        <v>-9999</v>
      </c>
      <c r="Q971" s="120">
        <v>10.5</v>
      </c>
      <c r="R971" s="120">
        <v>9</v>
      </c>
      <c r="S971" s="148">
        <v>22</v>
      </c>
      <c r="T971" s="120">
        <v>-9999</v>
      </c>
      <c r="U971" s="120">
        <v>15</v>
      </c>
      <c r="V971" s="120">
        <v>-9999</v>
      </c>
      <c r="W971" s="120">
        <v>-9999</v>
      </c>
      <c r="X971" s="120">
        <v>-9999</v>
      </c>
      <c r="Y971" s="120">
        <v>-9999</v>
      </c>
      <c r="Z971" s="120">
        <v>-9999</v>
      </c>
      <c r="AA971" s="120">
        <v>68</v>
      </c>
      <c r="AB971" s="120">
        <v>14.5</v>
      </c>
      <c r="AC971" s="120">
        <v>970</v>
      </c>
      <c r="AD971" s="120">
        <v>2242</v>
      </c>
      <c r="AE971" s="120">
        <v>-9999</v>
      </c>
      <c r="AF971" s="120">
        <v>-9999</v>
      </c>
      <c r="AG971" s="120">
        <v>-9999</v>
      </c>
    </row>
    <row r="972" spans="1:33" x14ac:dyDescent="0.25">
      <c r="A972" s="120">
        <v>971</v>
      </c>
      <c r="B972" s="120" t="b">
        <v>0</v>
      </c>
      <c r="C972" s="120">
        <v>0</v>
      </c>
      <c r="D972" s="61">
        <v>4</v>
      </c>
      <c r="E972" s="120">
        <v>1</v>
      </c>
      <c r="F972" s="120" t="s">
        <v>167</v>
      </c>
      <c r="G972" s="55">
        <v>10</v>
      </c>
      <c r="H972" s="120">
        <v>38</v>
      </c>
      <c r="I972" s="57">
        <v>110</v>
      </c>
      <c r="J972" s="120">
        <v>120</v>
      </c>
      <c r="K972" s="120">
        <v>4</v>
      </c>
      <c r="L972" s="120">
        <v>100</v>
      </c>
      <c r="M972" s="120">
        <v>-9999</v>
      </c>
      <c r="N972" s="120">
        <v>-9999</v>
      </c>
      <c r="O972" s="120">
        <v>2</v>
      </c>
      <c r="P972" s="120">
        <v>-9999</v>
      </c>
      <c r="Q972" s="120">
        <v>10.5</v>
      </c>
      <c r="R972" s="120">
        <v>9</v>
      </c>
      <c r="S972" s="148">
        <v>23.399999618530298</v>
      </c>
      <c r="T972" s="120">
        <v>-9999</v>
      </c>
      <c r="U972" s="120">
        <v>15</v>
      </c>
      <c r="V972" s="120">
        <v>-9999</v>
      </c>
      <c r="W972" s="120">
        <v>-9999</v>
      </c>
      <c r="X972" s="120">
        <v>-9999</v>
      </c>
      <c r="Y972" s="120">
        <v>-9999</v>
      </c>
      <c r="Z972" s="120">
        <v>-9999</v>
      </c>
      <c r="AA972" s="120">
        <v>68</v>
      </c>
      <c r="AB972" s="120">
        <v>14.5</v>
      </c>
      <c r="AC972" s="120">
        <v>971</v>
      </c>
      <c r="AD972" s="120">
        <v>2243</v>
      </c>
      <c r="AE972" s="120">
        <v>-9999</v>
      </c>
      <c r="AF972" s="120">
        <v>-9999</v>
      </c>
      <c r="AG972" s="120">
        <v>-9999</v>
      </c>
    </row>
    <row r="973" spans="1:33" x14ac:dyDescent="0.25">
      <c r="A973" s="120">
        <v>972</v>
      </c>
      <c r="B973" s="120" t="b">
        <v>0</v>
      </c>
      <c r="C973" s="120">
        <v>0</v>
      </c>
      <c r="D973" s="61">
        <v>4</v>
      </c>
      <c r="E973" s="120">
        <v>1</v>
      </c>
      <c r="F973" s="120" t="s">
        <v>167</v>
      </c>
      <c r="G973" s="55">
        <v>10</v>
      </c>
      <c r="H973" s="120">
        <v>36</v>
      </c>
      <c r="I973" s="57">
        <v>120</v>
      </c>
      <c r="J973" s="120">
        <v>130</v>
      </c>
      <c r="K973" s="120">
        <v>4</v>
      </c>
      <c r="L973" s="120">
        <v>100</v>
      </c>
      <c r="M973" s="120">
        <v>-9999</v>
      </c>
      <c r="N973" s="120">
        <v>-9999</v>
      </c>
      <c r="O973" s="120">
        <v>2</v>
      </c>
      <c r="P973" s="120">
        <v>-9999</v>
      </c>
      <c r="Q973" s="120">
        <v>10.5</v>
      </c>
      <c r="R973" s="120">
        <v>9</v>
      </c>
      <c r="S973" s="148">
        <v>24.899999618530298</v>
      </c>
      <c r="T973" s="120">
        <v>-9999</v>
      </c>
      <c r="U973" s="120">
        <v>15</v>
      </c>
      <c r="V973" s="120">
        <v>-9999</v>
      </c>
      <c r="W973" s="120">
        <v>-9999</v>
      </c>
      <c r="X973" s="120">
        <v>-9999</v>
      </c>
      <c r="Y973" s="120">
        <v>-9999</v>
      </c>
      <c r="Z973" s="120">
        <v>-9999</v>
      </c>
      <c r="AA973" s="120">
        <v>68</v>
      </c>
      <c r="AB973" s="120">
        <v>14.5</v>
      </c>
      <c r="AC973" s="120">
        <v>972</v>
      </c>
      <c r="AD973" s="120">
        <v>2244</v>
      </c>
      <c r="AE973" s="120">
        <v>-9999</v>
      </c>
      <c r="AF973" s="120">
        <v>-9999</v>
      </c>
      <c r="AG973" s="120">
        <v>-9999</v>
      </c>
    </row>
    <row r="974" spans="1:33" x14ac:dyDescent="0.25">
      <c r="A974" s="120">
        <v>973</v>
      </c>
      <c r="B974" s="120" t="b">
        <v>0</v>
      </c>
      <c r="C974" s="120">
        <v>0</v>
      </c>
      <c r="D974" s="61">
        <v>4</v>
      </c>
      <c r="E974" s="120">
        <v>1</v>
      </c>
      <c r="F974" s="120" t="s">
        <v>167</v>
      </c>
      <c r="G974" s="55">
        <v>10</v>
      </c>
      <c r="H974" s="120">
        <v>35</v>
      </c>
      <c r="I974" s="57">
        <v>125</v>
      </c>
      <c r="J974" s="120">
        <v>135</v>
      </c>
      <c r="K974" s="120">
        <v>4</v>
      </c>
      <c r="L974" s="120">
        <v>100</v>
      </c>
      <c r="M974" s="120">
        <v>-9999</v>
      </c>
      <c r="N974" s="120">
        <v>-9999</v>
      </c>
      <c r="O974" s="120">
        <v>2</v>
      </c>
      <c r="P974" s="120">
        <v>-9999</v>
      </c>
      <c r="Q974" s="120">
        <v>10.5</v>
      </c>
      <c r="R974" s="120">
        <v>9</v>
      </c>
      <c r="S974" s="148">
        <v>25.600000381469702</v>
      </c>
      <c r="T974" s="120">
        <v>-9999</v>
      </c>
      <c r="U974" s="120">
        <v>15</v>
      </c>
      <c r="V974" s="120">
        <v>-9999</v>
      </c>
      <c r="W974" s="120">
        <v>-9999</v>
      </c>
      <c r="X974" s="120">
        <v>-9999</v>
      </c>
      <c r="Y974" s="120">
        <v>-9999</v>
      </c>
      <c r="Z974" s="120">
        <v>-9999</v>
      </c>
      <c r="AA974" s="120">
        <v>68</v>
      </c>
      <c r="AB974" s="120">
        <v>14.5</v>
      </c>
      <c r="AC974" s="120">
        <v>973</v>
      </c>
      <c r="AD974" s="120">
        <v>2245</v>
      </c>
      <c r="AE974" s="120">
        <v>-9999</v>
      </c>
      <c r="AF974" s="120">
        <v>-9999</v>
      </c>
      <c r="AG974" s="120">
        <v>-9999</v>
      </c>
    </row>
    <row r="975" spans="1:33" x14ac:dyDescent="0.25">
      <c r="A975" s="120">
        <v>974</v>
      </c>
      <c r="B975" s="120" t="b">
        <v>0</v>
      </c>
      <c r="C975" s="120">
        <v>0</v>
      </c>
      <c r="D975" s="61">
        <v>4</v>
      </c>
      <c r="E975" s="120">
        <v>1</v>
      </c>
      <c r="F975" s="120" t="s">
        <v>168</v>
      </c>
      <c r="G975" s="55">
        <v>15</v>
      </c>
      <c r="H975" s="120">
        <v>109</v>
      </c>
      <c r="I975" s="57">
        <v>30</v>
      </c>
      <c r="J975" s="120">
        <v>40</v>
      </c>
      <c r="K975" s="120">
        <v>4</v>
      </c>
      <c r="L975" s="120">
        <v>100</v>
      </c>
      <c r="M975" s="120">
        <v>-9999</v>
      </c>
      <c r="N975" s="120">
        <v>-9999</v>
      </c>
      <c r="O975" s="120">
        <v>2</v>
      </c>
      <c r="P975" s="120">
        <v>-9999</v>
      </c>
      <c r="Q975" s="120">
        <v>13.5</v>
      </c>
      <c r="R975" s="120">
        <v>11.5</v>
      </c>
      <c r="S975" s="148">
        <v>10.6000003814697</v>
      </c>
      <c r="T975" s="120">
        <v>-9999</v>
      </c>
      <c r="U975" s="120">
        <v>15</v>
      </c>
      <c r="V975" s="120">
        <v>-9999</v>
      </c>
      <c r="W975" s="120">
        <v>-9999</v>
      </c>
      <c r="X975" s="120">
        <v>-9999</v>
      </c>
      <c r="Y975" s="120">
        <v>-9999</v>
      </c>
      <c r="Z975" s="120">
        <v>-9999</v>
      </c>
      <c r="AA975" s="120">
        <v>68</v>
      </c>
      <c r="AB975" s="120">
        <v>14.5</v>
      </c>
      <c r="AC975" s="120">
        <v>974</v>
      </c>
      <c r="AD975" s="120">
        <v>2246</v>
      </c>
      <c r="AE975" s="120">
        <v>-9999</v>
      </c>
      <c r="AF975" s="120">
        <v>-9999</v>
      </c>
      <c r="AG975" s="120">
        <v>-9999</v>
      </c>
    </row>
    <row r="976" spans="1:33" x14ac:dyDescent="0.25">
      <c r="A976" s="120">
        <v>975</v>
      </c>
      <c r="B976" s="120" t="b">
        <v>0</v>
      </c>
      <c r="C976" s="120">
        <v>0</v>
      </c>
      <c r="D976" s="61">
        <v>4</v>
      </c>
      <c r="E976" s="120">
        <v>1</v>
      </c>
      <c r="F976" s="120" t="s">
        <v>168</v>
      </c>
      <c r="G976" s="55">
        <v>15</v>
      </c>
      <c r="H976" s="120">
        <v>97</v>
      </c>
      <c r="I976" s="57">
        <v>40</v>
      </c>
      <c r="J976" s="120">
        <v>50</v>
      </c>
      <c r="K976" s="120">
        <v>4</v>
      </c>
      <c r="L976" s="120">
        <v>100</v>
      </c>
      <c r="M976" s="120">
        <v>-9999</v>
      </c>
      <c r="N976" s="120">
        <v>-9999</v>
      </c>
      <c r="O976" s="120">
        <v>2</v>
      </c>
      <c r="P976" s="120">
        <v>-9999</v>
      </c>
      <c r="Q976" s="120">
        <v>14.300000190734901</v>
      </c>
      <c r="R976" s="120">
        <v>12.199999809265099</v>
      </c>
      <c r="S976" s="148">
        <v>12.6000003814697</v>
      </c>
      <c r="T976" s="120">
        <v>-9999</v>
      </c>
      <c r="U976" s="120">
        <v>15</v>
      </c>
      <c r="V976" s="120">
        <v>-9999</v>
      </c>
      <c r="W976" s="120">
        <v>-9999</v>
      </c>
      <c r="X976" s="120">
        <v>-9999</v>
      </c>
      <c r="Y976" s="120">
        <v>-9999</v>
      </c>
      <c r="Z976" s="120">
        <v>-9999</v>
      </c>
      <c r="AA976" s="120">
        <v>68</v>
      </c>
      <c r="AB976" s="120">
        <v>14.5</v>
      </c>
      <c r="AC976" s="120">
        <v>975</v>
      </c>
      <c r="AD976" s="120">
        <v>2247</v>
      </c>
      <c r="AE976" s="120">
        <v>-9999</v>
      </c>
      <c r="AF976" s="120">
        <v>-9999</v>
      </c>
      <c r="AG976" s="120">
        <v>-9999</v>
      </c>
    </row>
    <row r="977" spans="1:33" x14ac:dyDescent="0.25">
      <c r="A977" s="120">
        <v>976</v>
      </c>
      <c r="B977" s="120" t="b">
        <v>0</v>
      </c>
      <c r="C977" s="120">
        <v>0</v>
      </c>
      <c r="D977" s="61">
        <v>4</v>
      </c>
      <c r="E977" s="120">
        <v>1</v>
      </c>
      <c r="F977" s="120" t="s">
        <v>168</v>
      </c>
      <c r="G977" s="55">
        <v>15</v>
      </c>
      <c r="H977" s="120">
        <v>89</v>
      </c>
      <c r="I977" s="57">
        <v>50</v>
      </c>
      <c r="J977" s="120">
        <v>60</v>
      </c>
      <c r="K977" s="120">
        <v>4</v>
      </c>
      <c r="L977" s="120">
        <v>100</v>
      </c>
      <c r="M977" s="120">
        <v>-9999</v>
      </c>
      <c r="N977" s="120">
        <v>-9999</v>
      </c>
      <c r="O977" s="120">
        <v>2</v>
      </c>
      <c r="P977" s="120">
        <v>-9999</v>
      </c>
      <c r="Q977" s="120">
        <v>14.699999809265099</v>
      </c>
      <c r="R977" s="120">
        <v>12.5</v>
      </c>
      <c r="S977" s="148">
        <v>14.1000003814697</v>
      </c>
      <c r="T977" s="120">
        <v>-9999</v>
      </c>
      <c r="U977" s="120">
        <v>15</v>
      </c>
      <c r="V977" s="120">
        <v>-9999</v>
      </c>
      <c r="W977" s="120">
        <v>-9999</v>
      </c>
      <c r="X977" s="120">
        <v>-9999</v>
      </c>
      <c r="Y977" s="120">
        <v>-9999</v>
      </c>
      <c r="Z977" s="120">
        <v>-9999</v>
      </c>
      <c r="AA977" s="120">
        <v>68</v>
      </c>
      <c r="AB977" s="120">
        <v>14.5</v>
      </c>
      <c r="AC977" s="120">
        <v>976</v>
      </c>
      <c r="AD977" s="120">
        <v>2248</v>
      </c>
      <c r="AE977" s="120">
        <v>-9999</v>
      </c>
      <c r="AF977" s="120">
        <v>-9999</v>
      </c>
      <c r="AG977" s="120">
        <v>-9999</v>
      </c>
    </row>
    <row r="978" spans="1:33" x14ac:dyDescent="0.25">
      <c r="A978" s="120">
        <v>977</v>
      </c>
      <c r="B978" s="120" t="b">
        <v>0</v>
      </c>
      <c r="C978" s="120">
        <v>0</v>
      </c>
      <c r="D978" s="61">
        <v>4</v>
      </c>
      <c r="E978" s="120">
        <v>1</v>
      </c>
      <c r="F978" s="120" t="s">
        <v>168</v>
      </c>
      <c r="G978" s="55">
        <v>15</v>
      </c>
      <c r="H978" s="120">
        <v>82</v>
      </c>
      <c r="I978" s="57">
        <v>60</v>
      </c>
      <c r="J978" s="120">
        <v>70</v>
      </c>
      <c r="K978" s="120">
        <v>4</v>
      </c>
      <c r="L978" s="120">
        <v>100</v>
      </c>
      <c r="M978" s="120">
        <v>-9999</v>
      </c>
      <c r="N978" s="120">
        <v>-9999</v>
      </c>
      <c r="O978" s="120">
        <v>2</v>
      </c>
      <c r="P978" s="120">
        <v>-9999</v>
      </c>
      <c r="Q978" s="120">
        <v>15</v>
      </c>
      <c r="R978" s="120">
        <v>12.800000190734901</v>
      </c>
      <c r="S978" s="148">
        <v>15.6000003814697</v>
      </c>
      <c r="T978" s="120">
        <v>-9999</v>
      </c>
      <c r="U978" s="120">
        <v>15</v>
      </c>
      <c r="V978" s="120">
        <v>-9999</v>
      </c>
      <c r="W978" s="120">
        <v>-9999</v>
      </c>
      <c r="X978" s="120">
        <v>-9999</v>
      </c>
      <c r="Y978" s="120">
        <v>-9999</v>
      </c>
      <c r="Z978" s="120">
        <v>-9999</v>
      </c>
      <c r="AA978" s="120">
        <v>68</v>
      </c>
      <c r="AB978" s="120">
        <v>14.5</v>
      </c>
      <c r="AC978" s="120">
        <v>977</v>
      </c>
      <c r="AD978" s="120">
        <v>2249</v>
      </c>
      <c r="AE978" s="120">
        <v>-9999</v>
      </c>
      <c r="AF978" s="120">
        <v>-9999</v>
      </c>
      <c r="AG978" s="120">
        <v>-9999</v>
      </c>
    </row>
    <row r="979" spans="1:33" x14ac:dyDescent="0.25">
      <c r="A979" s="120">
        <v>978</v>
      </c>
      <c r="B979" s="120" t="b">
        <v>0</v>
      </c>
      <c r="C979" s="120">
        <v>0</v>
      </c>
      <c r="D979" s="61">
        <v>4</v>
      </c>
      <c r="E979" s="120">
        <v>1</v>
      </c>
      <c r="F979" s="120" t="s">
        <v>168</v>
      </c>
      <c r="G979" s="55">
        <v>15</v>
      </c>
      <c r="H979" s="120">
        <v>76</v>
      </c>
      <c r="I979" s="57">
        <v>70</v>
      </c>
      <c r="J979" s="120">
        <v>80</v>
      </c>
      <c r="K979" s="120">
        <v>4</v>
      </c>
      <c r="L979" s="120">
        <v>100</v>
      </c>
      <c r="M979" s="120">
        <v>-9999</v>
      </c>
      <c r="N979" s="120">
        <v>-9999</v>
      </c>
      <c r="O979" s="120">
        <v>2</v>
      </c>
      <c r="P979" s="120">
        <v>-9999</v>
      </c>
      <c r="Q979" s="120">
        <v>15.199999809265099</v>
      </c>
      <c r="R979" s="120">
        <v>13</v>
      </c>
      <c r="S979" s="148">
        <v>17.200000762939499</v>
      </c>
      <c r="T979" s="120">
        <v>-9999</v>
      </c>
      <c r="U979" s="120">
        <v>15</v>
      </c>
      <c r="V979" s="120">
        <v>-9999</v>
      </c>
      <c r="W979" s="120">
        <v>-9999</v>
      </c>
      <c r="X979" s="120">
        <v>-9999</v>
      </c>
      <c r="Y979" s="120">
        <v>-9999</v>
      </c>
      <c r="Z979" s="120">
        <v>-9999</v>
      </c>
      <c r="AA979" s="120">
        <v>68</v>
      </c>
      <c r="AB979" s="120">
        <v>14.5</v>
      </c>
      <c r="AC979" s="120">
        <v>978</v>
      </c>
      <c r="AD979" s="120">
        <v>2250</v>
      </c>
      <c r="AE979" s="120">
        <v>-9999</v>
      </c>
      <c r="AF979" s="120">
        <v>-9999</v>
      </c>
      <c r="AG979" s="120">
        <v>-9999</v>
      </c>
    </row>
    <row r="980" spans="1:33" x14ac:dyDescent="0.25">
      <c r="A980" s="120">
        <v>979</v>
      </c>
      <c r="B980" s="120" t="b">
        <v>0</v>
      </c>
      <c r="C980" s="120">
        <v>0</v>
      </c>
      <c r="D980" s="61">
        <v>4</v>
      </c>
      <c r="E980" s="120">
        <v>1</v>
      </c>
      <c r="F980" s="120" t="s">
        <v>168</v>
      </c>
      <c r="G980" s="55">
        <v>15</v>
      </c>
      <c r="H980" s="120">
        <v>70</v>
      </c>
      <c r="I980" s="57">
        <v>80</v>
      </c>
      <c r="J980" s="120">
        <v>90</v>
      </c>
      <c r="K980" s="120">
        <v>4</v>
      </c>
      <c r="L980" s="120">
        <v>100</v>
      </c>
      <c r="M980" s="120">
        <v>-9999</v>
      </c>
      <c r="N980" s="120">
        <v>-9999</v>
      </c>
      <c r="O980" s="120">
        <v>2</v>
      </c>
      <c r="P980" s="120">
        <v>-9999</v>
      </c>
      <c r="Q980" s="120">
        <v>15.3999996185303</v>
      </c>
      <c r="R980" s="120">
        <v>13.1000003814697</v>
      </c>
      <c r="S980" s="148">
        <v>18.700000762939499</v>
      </c>
      <c r="T980" s="120">
        <v>-9999</v>
      </c>
      <c r="U980" s="120">
        <v>15</v>
      </c>
      <c r="V980" s="120">
        <v>-9999</v>
      </c>
      <c r="W980" s="120">
        <v>-9999</v>
      </c>
      <c r="X980" s="120">
        <v>-9999</v>
      </c>
      <c r="Y980" s="120">
        <v>-9999</v>
      </c>
      <c r="Z980" s="120">
        <v>-9999</v>
      </c>
      <c r="AA980" s="120">
        <v>68</v>
      </c>
      <c r="AB980" s="120">
        <v>14.5</v>
      </c>
      <c r="AC980" s="120">
        <v>979</v>
      </c>
      <c r="AD980" s="120">
        <v>2251</v>
      </c>
      <c r="AE980" s="120">
        <v>-9999</v>
      </c>
      <c r="AF980" s="120">
        <v>-9999</v>
      </c>
      <c r="AG980" s="120">
        <v>-9999</v>
      </c>
    </row>
    <row r="981" spans="1:33" x14ac:dyDescent="0.25">
      <c r="A981" s="120">
        <v>980</v>
      </c>
      <c r="B981" s="120" t="b">
        <v>0</v>
      </c>
      <c r="C981" s="120">
        <v>0</v>
      </c>
      <c r="D981" s="61">
        <v>4</v>
      </c>
      <c r="E981" s="120">
        <v>1</v>
      </c>
      <c r="F981" s="120" t="s">
        <v>168</v>
      </c>
      <c r="G981" s="55">
        <v>15</v>
      </c>
      <c r="H981" s="120">
        <v>65</v>
      </c>
      <c r="I981" s="57">
        <v>90</v>
      </c>
      <c r="J981" s="120">
        <v>100</v>
      </c>
      <c r="K981" s="120">
        <v>4</v>
      </c>
      <c r="L981" s="120">
        <v>100</v>
      </c>
      <c r="M981" s="120">
        <v>-9999</v>
      </c>
      <c r="N981" s="120">
        <v>-9999</v>
      </c>
      <c r="O981" s="120">
        <v>2</v>
      </c>
      <c r="P981" s="120">
        <v>-9999</v>
      </c>
      <c r="Q981" s="120">
        <v>15.5</v>
      </c>
      <c r="R981" s="120">
        <v>13.300000190734901</v>
      </c>
      <c r="S981" s="148">
        <v>20.399999618530298</v>
      </c>
      <c r="T981" s="120">
        <v>-9999</v>
      </c>
      <c r="U981" s="120">
        <v>15</v>
      </c>
      <c r="V981" s="120">
        <v>-9999</v>
      </c>
      <c r="W981" s="120">
        <v>-9999</v>
      </c>
      <c r="X981" s="120">
        <v>-9999</v>
      </c>
      <c r="Y981" s="120">
        <v>-9999</v>
      </c>
      <c r="Z981" s="120">
        <v>-9999</v>
      </c>
      <c r="AA981" s="120">
        <v>68</v>
      </c>
      <c r="AB981" s="120">
        <v>14.5</v>
      </c>
      <c r="AC981" s="120">
        <v>980</v>
      </c>
      <c r="AD981" s="120">
        <v>2252</v>
      </c>
      <c r="AE981" s="120">
        <v>-9999</v>
      </c>
      <c r="AF981" s="120">
        <v>-9999</v>
      </c>
      <c r="AG981" s="120">
        <v>-9999</v>
      </c>
    </row>
    <row r="982" spans="1:33" x14ac:dyDescent="0.25">
      <c r="A982" s="120">
        <v>981</v>
      </c>
      <c r="B982" s="120" t="b">
        <v>0</v>
      </c>
      <c r="C982" s="120">
        <v>0</v>
      </c>
      <c r="D982" s="61">
        <v>4</v>
      </c>
      <c r="E982" s="120">
        <v>1</v>
      </c>
      <c r="F982" s="120" t="s">
        <v>168</v>
      </c>
      <c r="G982" s="55">
        <v>15</v>
      </c>
      <c r="H982" s="120">
        <v>61</v>
      </c>
      <c r="I982" s="57">
        <v>100</v>
      </c>
      <c r="J982" s="120">
        <v>110</v>
      </c>
      <c r="K982" s="120">
        <v>4</v>
      </c>
      <c r="L982" s="120">
        <v>100</v>
      </c>
      <c r="M982" s="120">
        <v>-9999</v>
      </c>
      <c r="N982" s="120">
        <v>-9999</v>
      </c>
      <c r="O982" s="120">
        <v>2</v>
      </c>
      <c r="P982" s="120">
        <v>-9999</v>
      </c>
      <c r="Q982" s="120">
        <v>15.800000190734901</v>
      </c>
      <c r="R982" s="120">
        <v>13.3999996185303</v>
      </c>
      <c r="S982" s="148">
        <v>22</v>
      </c>
      <c r="T982" s="120">
        <v>-9999</v>
      </c>
      <c r="U982" s="120">
        <v>15</v>
      </c>
      <c r="V982" s="120">
        <v>-9999</v>
      </c>
      <c r="W982" s="120">
        <v>-9999</v>
      </c>
      <c r="X982" s="120">
        <v>-9999</v>
      </c>
      <c r="Y982" s="120">
        <v>-9999</v>
      </c>
      <c r="Z982" s="120">
        <v>-9999</v>
      </c>
      <c r="AA982" s="120">
        <v>68</v>
      </c>
      <c r="AB982" s="120">
        <v>14.5</v>
      </c>
      <c r="AC982" s="120">
        <v>981</v>
      </c>
      <c r="AD982" s="120">
        <v>2253</v>
      </c>
      <c r="AE982" s="120">
        <v>-9999</v>
      </c>
      <c r="AF982" s="120">
        <v>-9999</v>
      </c>
      <c r="AG982" s="120">
        <v>-9999</v>
      </c>
    </row>
    <row r="983" spans="1:33" x14ac:dyDescent="0.25">
      <c r="A983" s="120">
        <v>982</v>
      </c>
      <c r="B983" s="120" t="b">
        <v>0</v>
      </c>
      <c r="C983" s="120">
        <v>0</v>
      </c>
      <c r="D983" s="61">
        <v>4</v>
      </c>
      <c r="E983" s="120">
        <v>1</v>
      </c>
      <c r="F983" s="120" t="s">
        <v>168</v>
      </c>
      <c r="G983" s="55">
        <v>15</v>
      </c>
      <c r="H983" s="120">
        <v>57</v>
      </c>
      <c r="I983" s="57">
        <v>110</v>
      </c>
      <c r="J983" s="120">
        <v>120</v>
      </c>
      <c r="K983" s="120">
        <v>4</v>
      </c>
      <c r="L983" s="120">
        <v>100</v>
      </c>
      <c r="M983" s="120">
        <v>-9999</v>
      </c>
      <c r="N983" s="120">
        <v>-9999</v>
      </c>
      <c r="O983" s="120">
        <v>2</v>
      </c>
      <c r="P983" s="120">
        <v>-9999</v>
      </c>
      <c r="Q983" s="120">
        <v>15.800000190734901</v>
      </c>
      <c r="R983" s="120">
        <v>13.3999996185303</v>
      </c>
      <c r="S983" s="148">
        <v>23.399999618530298</v>
      </c>
      <c r="T983" s="120">
        <v>-9999</v>
      </c>
      <c r="U983" s="120">
        <v>15</v>
      </c>
      <c r="V983" s="120">
        <v>-9999</v>
      </c>
      <c r="W983" s="120">
        <v>-9999</v>
      </c>
      <c r="X983" s="120">
        <v>-9999</v>
      </c>
      <c r="Y983" s="120">
        <v>-9999</v>
      </c>
      <c r="Z983" s="120">
        <v>-9999</v>
      </c>
      <c r="AA983" s="120">
        <v>68</v>
      </c>
      <c r="AB983" s="120">
        <v>14.5</v>
      </c>
      <c r="AC983" s="120">
        <v>982</v>
      </c>
      <c r="AD983" s="120">
        <v>2254</v>
      </c>
      <c r="AE983" s="120">
        <v>-9999</v>
      </c>
      <c r="AF983" s="120">
        <v>-9999</v>
      </c>
      <c r="AG983" s="120">
        <v>-9999</v>
      </c>
    </row>
    <row r="984" spans="1:33" x14ac:dyDescent="0.25">
      <c r="A984" s="120">
        <v>983</v>
      </c>
      <c r="B984" s="120" t="b">
        <v>0</v>
      </c>
      <c r="C984" s="120">
        <v>0</v>
      </c>
      <c r="D984" s="61">
        <v>4</v>
      </c>
      <c r="E984" s="120">
        <v>1</v>
      </c>
      <c r="F984" s="120" t="s">
        <v>168</v>
      </c>
      <c r="G984" s="55">
        <v>15</v>
      </c>
      <c r="H984" s="120">
        <v>54</v>
      </c>
      <c r="I984" s="57">
        <v>120</v>
      </c>
      <c r="J984" s="120">
        <v>130</v>
      </c>
      <c r="K984" s="120">
        <v>4</v>
      </c>
      <c r="L984" s="120">
        <v>100</v>
      </c>
      <c r="M984" s="120">
        <v>-9999</v>
      </c>
      <c r="N984" s="120">
        <v>-9999</v>
      </c>
      <c r="O984" s="120">
        <v>2</v>
      </c>
      <c r="P984" s="120">
        <v>-9999</v>
      </c>
      <c r="Q984" s="120">
        <v>15.800000190734901</v>
      </c>
      <c r="R984" s="120">
        <v>13.3999996185303</v>
      </c>
      <c r="S984" s="148">
        <v>24.899999618530298</v>
      </c>
      <c r="T984" s="120">
        <v>-9999</v>
      </c>
      <c r="U984" s="120">
        <v>15</v>
      </c>
      <c r="V984" s="120">
        <v>-9999</v>
      </c>
      <c r="W984" s="120">
        <v>-9999</v>
      </c>
      <c r="X984" s="120">
        <v>-9999</v>
      </c>
      <c r="Y984" s="120">
        <v>-9999</v>
      </c>
      <c r="Z984" s="120">
        <v>-9999</v>
      </c>
      <c r="AA984" s="120">
        <v>68</v>
      </c>
      <c r="AB984" s="120">
        <v>14.5</v>
      </c>
      <c r="AC984" s="120">
        <v>983</v>
      </c>
      <c r="AD984" s="120">
        <v>2255</v>
      </c>
      <c r="AE984" s="120">
        <v>-9999</v>
      </c>
      <c r="AF984" s="120">
        <v>-9999</v>
      </c>
      <c r="AG984" s="120">
        <v>-9999</v>
      </c>
    </row>
    <row r="985" spans="1:33" x14ac:dyDescent="0.25">
      <c r="A985" s="120">
        <v>984</v>
      </c>
      <c r="B985" s="120" t="b">
        <v>0</v>
      </c>
      <c r="C985" s="120">
        <v>0</v>
      </c>
      <c r="D985" s="61">
        <v>4</v>
      </c>
      <c r="E985" s="120">
        <v>1</v>
      </c>
      <c r="F985" s="120" t="s">
        <v>168</v>
      </c>
      <c r="G985" s="55">
        <v>15</v>
      </c>
      <c r="H985" s="120">
        <v>52</v>
      </c>
      <c r="I985" s="57">
        <v>125</v>
      </c>
      <c r="J985" s="120">
        <v>135</v>
      </c>
      <c r="K985" s="120">
        <v>4</v>
      </c>
      <c r="L985" s="120">
        <v>100</v>
      </c>
      <c r="M985" s="120">
        <v>-9999</v>
      </c>
      <c r="N985" s="120">
        <v>-9999</v>
      </c>
      <c r="O985" s="120">
        <v>2</v>
      </c>
      <c r="P985" s="120">
        <v>-9999</v>
      </c>
      <c r="Q985" s="120">
        <v>15.800000190734901</v>
      </c>
      <c r="R985" s="120">
        <v>13.3999996185303</v>
      </c>
      <c r="S985" s="148">
        <v>25.600000381469702</v>
      </c>
      <c r="T985" s="120">
        <v>-9999</v>
      </c>
      <c r="U985" s="120">
        <v>15</v>
      </c>
      <c r="V985" s="120">
        <v>-9999</v>
      </c>
      <c r="W985" s="120">
        <v>-9999</v>
      </c>
      <c r="X985" s="120">
        <v>-9999</v>
      </c>
      <c r="Y985" s="120">
        <v>-9999</v>
      </c>
      <c r="Z985" s="120">
        <v>-9999</v>
      </c>
      <c r="AA985" s="120">
        <v>68</v>
      </c>
      <c r="AB985" s="120">
        <v>14.5</v>
      </c>
      <c r="AC985" s="120">
        <v>984</v>
      </c>
      <c r="AD985" s="120">
        <v>2256</v>
      </c>
      <c r="AE985" s="120">
        <v>-9999</v>
      </c>
      <c r="AF985" s="120">
        <v>-9999</v>
      </c>
      <c r="AG985" s="120">
        <v>-9999</v>
      </c>
    </row>
    <row r="986" spans="1:33" x14ac:dyDescent="0.25">
      <c r="A986" s="120">
        <v>985</v>
      </c>
      <c r="B986" s="120" t="b">
        <v>0</v>
      </c>
      <c r="C986" s="120">
        <v>0</v>
      </c>
      <c r="D986" s="61">
        <v>4</v>
      </c>
      <c r="E986" s="120">
        <v>1</v>
      </c>
      <c r="F986" s="120" t="s">
        <v>169</v>
      </c>
      <c r="G986" s="55">
        <v>20</v>
      </c>
      <c r="H986" s="120">
        <v>149</v>
      </c>
      <c r="I986" s="57">
        <v>30</v>
      </c>
      <c r="J986" s="120">
        <v>40</v>
      </c>
      <c r="K986" s="120">
        <v>4</v>
      </c>
      <c r="L986" s="120">
        <v>100</v>
      </c>
      <c r="M986" s="120">
        <v>-9999</v>
      </c>
      <c r="N986" s="120">
        <v>-9999</v>
      </c>
      <c r="O986" s="120">
        <v>2</v>
      </c>
      <c r="P986" s="120">
        <v>-9999</v>
      </c>
      <c r="Q986" s="120">
        <v>18.100000381469702</v>
      </c>
      <c r="R986" s="120">
        <v>15.1000003814697</v>
      </c>
      <c r="S986" s="148">
        <v>10.1000003814697</v>
      </c>
      <c r="T986" s="120">
        <v>-9999</v>
      </c>
      <c r="U986" s="120">
        <v>15</v>
      </c>
      <c r="V986" s="120">
        <v>-9999</v>
      </c>
      <c r="W986" s="120">
        <v>-9999</v>
      </c>
      <c r="X986" s="120">
        <v>-9999</v>
      </c>
      <c r="Y986" s="120">
        <v>-9999</v>
      </c>
      <c r="Z986" s="120">
        <v>-9999</v>
      </c>
      <c r="AA986" s="120">
        <v>68</v>
      </c>
      <c r="AB986" s="120">
        <v>14.5</v>
      </c>
      <c r="AC986" s="120">
        <v>985</v>
      </c>
      <c r="AD986" s="120">
        <v>2257</v>
      </c>
      <c r="AE986" s="120">
        <v>-9999</v>
      </c>
      <c r="AF986" s="120">
        <v>-9999</v>
      </c>
      <c r="AG986" s="120">
        <v>-9999</v>
      </c>
    </row>
    <row r="987" spans="1:33" x14ac:dyDescent="0.25">
      <c r="A987" s="120">
        <v>986</v>
      </c>
      <c r="B987" s="120" t="b">
        <v>0</v>
      </c>
      <c r="C987" s="120">
        <v>0</v>
      </c>
      <c r="D987" s="61">
        <v>4</v>
      </c>
      <c r="E987" s="120">
        <v>1</v>
      </c>
      <c r="F987" s="120" t="s">
        <v>169</v>
      </c>
      <c r="G987" s="55">
        <v>20</v>
      </c>
      <c r="H987" s="120">
        <v>133</v>
      </c>
      <c r="I987" s="57">
        <v>40</v>
      </c>
      <c r="J987" s="120">
        <v>50</v>
      </c>
      <c r="K987" s="120">
        <v>4</v>
      </c>
      <c r="L987" s="120">
        <v>100</v>
      </c>
      <c r="M987" s="120">
        <v>-9999</v>
      </c>
      <c r="N987" s="120">
        <v>-9999</v>
      </c>
      <c r="O987" s="120">
        <v>2</v>
      </c>
      <c r="P987" s="120">
        <v>-9999</v>
      </c>
      <c r="Q987" s="120">
        <v>19</v>
      </c>
      <c r="R987" s="120">
        <v>15.800000190734901</v>
      </c>
      <c r="S987" s="148">
        <v>11.8999996185303</v>
      </c>
      <c r="T987" s="120">
        <v>-9999</v>
      </c>
      <c r="U987" s="120">
        <v>15</v>
      </c>
      <c r="V987" s="120">
        <v>-9999</v>
      </c>
      <c r="W987" s="120">
        <v>-9999</v>
      </c>
      <c r="X987" s="120">
        <v>-9999</v>
      </c>
      <c r="Y987" s="120">
        <v>-9999</v>
      </c>
      <c r="Z987" s="120">
        <v>-9999</v>
      </c>
      <c r="AA987" s="120">
        <v>68</v>
      </c>
      <c r="AB987" s="120">
        <v>14.5</v>
      </c>
      <c r="AC987" s="120">
        <v>986</v>
      </c>
      <c r="AD987" s="120">
        <v>2258</v>
      </c>
      <c r="AE987" s="120">
        <v>-9999</v>
      </c>
      <c r="AF987" s="120">
        <v>-9999</v>
      </c>
      <c r="AG987" s="120">
        <v>-9999</v>
      </c>
    </row>
    <row r="988" spans="1:33" x14ac:dyDescent="0.25">
      <c r="A988" s="120">
        <v>987</v>
      </c>
      <c r="B988" s="120" t="b">
        <v>0</v>
      </c>
      <c r="C988" s="120">
        <v>0</v>
      </c>
      <c r="D988" s="61">
        <v>4</v>
      </c>
      <c r="E988" s="120">
        <v>1</v>
      </c>
      <c r="F988" s="120" t="s">
        <v>169</v>
      </c>
      <c r="G988" s="55">
        <v>20</v>
      </c>
      <c r="H988" s="120">
        <v>122</v>
      </c>
      <c r="I988" s="57">
        <v>50</v>
      </c>
      <c r="J988" s="120">
        <v>60</v>
      </c>
      <c r="K988" s="120">
        <v>4</v>
      </c>
      <c r="L988" s="120">
        <v>100</v>
      </c>
      <c r="M988" s="120">
        <v>-9999</v>
      </c>
      <c r="N988" s="120">
        <v>-9999</v>
      </c>
      <c r="O988" s="120">
        <v>2</v>
      </c>
      <c r="P988" s="120">
        <v>-9999</v>
      </c>
      <c r="Q988" s="120">
        <v>19.600000381469702</v>
      </c>
      <c r="R988" s="120">
        <v>16.399999618530298</v>
      </c>
      <c r="S988" s="148">
        <v>13.3999996185303</v>
      </c>
      <c r="T988" s="120">
        <v>-9999</v>
      </c>
      <c r="U988" s="120">
        <v>15</v>
      </c>
      <c r="V988" s="120">
        <v>-9999</v>
      </c>
      <c r="W988" s="120">
        <v>-9999</v>
      </c>
      <c r="X988" s="120">
        <v>-9999</v>
      </c>
      <c r="Y988" s="120">
        <v>-9999</v>
      </c>
      <c r="Z988" s="120">
        <v>-9999</v>
      </c>
      <c r="AA988" s="120">
        <v>68</v>
      </c>
      <c r="AB988" s="120">
        <v>14.5</v>
      </c>
      <c r="AC988" s="120">
        <v>987</v>
      </c>
      <c r="AD988" s="120">
        <v>2259</v>
      </c>
      <c r="AE988" s="120">
        <v>-9999</v>
      </c>
      <c r="AF988" s="120">
        <v>-9999</v>
      </c>
      <c r="AG988" s="120">
        <v>-9999</v>
      </c>
    </row>
    <row r="989" spans="1:33" x14ac:dyDescent="0.25">
      <c r="A989" s="120">
        <v>988</v>
      </c>
      <c r="B989" s="120" t="b">
        <v>0</v>
      </c>
      <c r="C989" s="120">
        <v>0</v>
      </c>
      <c r="D989" s="61">
        <v>4</v>
      </c>
      <c r="E989" s="120">
        <v>1</v>
      </c>
      <c r="F989" s="120" t="s">
        <v>169</v>
      </c>
      <c r="G989" s="55">
        <v>20</v>
      </c>
      <c r="H989" s="120">
        <v>113</v>
      </c>
      <c r="I989" s="57">
        <v>60</v>
      </c>
      <c r="J989" s="120">
        <v>70</v>
      </c>
      <c r="K989" s="120">
        <v>4</v>
      </c>
      <c r="L989" s="120">
        <v>100</v>
      </c>
      <c r="M989" s="120">
        <v>-9999</v>
      </c>
      <c r="N989" s="120">
        <v>-9999</v>
      </c>
      <c r="O989" s="120">
        <v>2</v>
      </c>
      <c r="P989" s="120">
        <v>-9999</v>
      </c>
      <c r="Q989" s="120">
        <v>20</v>
      </c>
      <c r="R989" s="120">
        <v>16.700000762939499</v>
      </c>
      <c r="S989" s="148">
        <v>14.800000190734901</v>
      </c>
      <c r="T989" s="120">
        <v>-9999</v>
      </c>
      <c r="U989" s="120">
        <v>15</v>
      </c>
      <c r="V989" s="120">
        <v>-9999</v>
      </c>
      <c r="W989" s="120">
        <v>-9999</v>
      </c>
      <c r="X989" s="120">
        <v>-9999</v>
      </c>
      <c r="Y989" s="120">
        <v>-9999</v>
      </c>
      <c r="Z989" s="120">
        <v>-9999</v>
      </c>
      <c r="AA989" s="120">
        <v>68</v>
      </c>
      <c r="AB989" s="120">
        <v>14.5</v>
      </c>
      <c r="AC989" s="120">
        <v>988</v>
      </c>
      <c r="AD989" s="120">
        <v>2260</v>
      </c>
      <c r="AE989" s="120">
        <v>-9999</v>
      </c>
      <c r="AF989" s="120">
        <v>-9999</v>
      </c>
      <c r="AG989" s="120">
        <v>-9999</v>
      </c>
    </row>
    <row r="990" spans="1:33" x14ac:dyDescent="0.25">
      <c r="A990" s="120">
        <v>989</v>
      </c>
      <c r="B990" s="120" t="b">
        <v>0</v>
      </c>
      <c r="C990" s="120">
        <v>0</v>
      </c>
      <c r="D990" s="61">
        <v>4</v>
      </c>
      <c r="E990" s="120">
        <v>1</v>
      </c>
      <c r="F990" s="120" t="s">
        <v>169</v>
      </c>
      <c r="G990" s="55">
        <v>20</v>
      </c>
      <c r="H990" s="120">
        <v>104</v>
      </c>
      <c r="I990" s="57">
        <v>70</v>
      </c>
      <c r="J990" s="120">
        <v>80</v>
      </c>
      <c r="K990" s="120">
        <v>4</v>
      </c>
      <c r="L990" s="120">
        <v>100</v>
      </c>
      <c r="M990" s="120">
        <v>-9999</v>
      </c>
      <c r="N990" s="120">
        <v>-9999</v>
      </c>
      <c r="O990" s="120">
        <v>2</v>
      </c>
      <c r="P990" s="120">
        <v>-9999</v>
      </c>
      <c r="Q990" s="120">
        <v>20.299999237060501</v>
      </c>
      <c r="R990" s="120">
        <v>16.899999618530298</v>
      </c>
      <c r="S990" s="148">
        <v>16.299999237060501</v>
      </c>
      <c r="T990" s="120">
        <v>-9999</v>
      </c>
      <c r="U990" s="120">
        <v>15</v>
      </c>
      <c r="V990" s="120">
        <v>-9999</v>
      </c>
      <c r="W990" s="120">
        <v>-9999</v>
      </c>
      <c r="X990" s="120">
        <v>-9999</v>
      </c>
      <c r="Y990" s="120">
        <v>-9999</v>
      </c>
      <c r="Z990" s="120">
        <v>-9999</v>
      </c>
      <c r="AA990" s="120">
        <v>68</v>
      </c>
      <c r="AB990" s="120">
        <v>14.5</v>
      </c>
      <c r="AC990" s="120">
        <v>989</v>
      </c>
      <c r="AD990" s="120">
        <v>2261</v>
      </c>
      <c r="AE990" s="120">
        <v>-9999</v>
      </c>
      <c r="AF990" s="120">
        <v>-9999</v>
      </c>
      <c r="AG990" s="120">
        <v>-9999</v>
      </c>
    </row>
    <row r="991" spans="1:33" x14ac:dyDescent="0.25">
      <c r="A991" s="120">
        <v>990</v>
      </c>
      <c r="B991" s="120" t="b">
        <v>0</v>
      </c>
      <c r="C991" s="120">
        <v>0</v>
      </c>
      <c r="D991" s="61">
        <v>4</v>
      </c>
      <c r="E991" s="120">
        <v>1</v>
      </c>
      <c r="F991" s="120" t="s">
        <v>169</v>
      </c>
      <c r="G991" s="55">
        <v>20</v>
      </c>
      <c r="H991" s="120">
        <v>96</v>
      </c>
      <c r="I991" s="57">
        <v>80</v>
      </c>
      <c r="J991" s="120">
        <v>90</v>
      </c>
      <c r="K991" s="120">
        <v>4</v>
      </c>
      <c r="L991" s="120">
        <v>100</v>
      </c>
      <c r="M991" s="120">
        <v>-9999</v>
      </c>
      <c r="N991" s="120">
        <v>-9999</v>
      </c>
      <c r="O991" s="120">
        <v>2</v>
      </c>
      <c r="P991" s="120">
        <v>-9999</v>
      </c>
      <c r="Q991" s="120">
        <v>20.600000381469702</v>
      </c>
      <c r="R991" s="120">
        <v>17.100000381469702</v>
      </c>
      <c r="S991" s="148">
        <v>17.799999237060501</v>
      </c>
      <c r="T991" s="120">
        <v>-9999</v>
      </c>
      <c r="U991" s="120">
        <v>15</v>
      </c>
      <c r="V991" s="120">
        <v>-9999</v>
      </c>
      <c r="W991" s="120">
        <v>-9999</v>
      </c>
      <c r="X991" s="120">
        <v>-9999</v>
      </c>
      <c r="Y991" s="120">
        <v>-9999</v>
      </c>
      <c r="Z991" s="120">
        <v>-9999</v>
      </c>
      <c r="AA991" s="120">
        <v>68</v>
      </c>
      <c r="AB991" s="120">
        <v>14.5</v>
      </c>
      <c r="AC991" s="120">
        <v>990</v>
      </c>
      <c r="AD991" s="120">
        <v>2262</v>
      </c>
      <c r="AE991" s="120">
        <v>-9999</v>
      </c>
      <c r="AF991" s="120">
        <v>-9999</v>
      </c>
      <c r="AG991" s="120">
        <v>-9999</v>
      </c>
    </row>
    <row r="992" spans="1:33" x14ac:dyDescent="0.25">
      <c r="A992" s="120">
        <v>991</v>
      </c>
      <c r="B992" s="120" t="b">
        <v>0</v>
      </c>
      <c r="C992" s="120">
        <v>0</v>
      </c>
      <c r="D992" s="61">
        <v>4</v>
      </c>
      <c r="E992" s="120">
        <v>1</v>
      </c>
      <c r="F992" s="120" t="s">
        <v>169</v>
      </c>
      <c r="G992" s="55">
        <v>20</v>
      </c>
      <c r="H992" s="120">
        <v>89</v>
      </c>
      <c r="I992" s="57">
        <v>90</v>
      </c>
      <c r="J992" s="120">
        <v>100</v>
      </c>
      <c r="K992" s="120">
        <v>4</v>
      </c>
      <c r="L992" s="120">
        <v>100</v>
      </c>
      <c r="M992" s="120">
        <v>-9999</v>
      </c>
      <c r="N992" s="120">
        <v>-9999</v>
      </c>
      <c r="O992" s="120">
        <v>2</v>
      </c>
      <c r="P992" s="120">
        <v>-9999</v>
      </c>
      <c r="Q992" s="120">
        <v>20.700000762939499</v>
      </c>
      <c r="R992" s="120">
        <v>17.299999237060501</v>
      </c>
      <c r="S992" s="148">
        <v>19.299999237060501</v>
      </c>
      <c r="T992" s="120">
        <v>-9999</v>
      </c>
      <c r="U992" s="120">
        <v>15</v>
      </c>
      <c r="V992" s="120">
        <v>-9999</v>
      </c>
      <c r="W992" s="120">
        <v>-9999</v>
      </c>
      <c r="X992" s="120">
        <v>-9999</v>
      </c>
      <c r="Y992" s="120">
        <v>-9999</v>
      </c>
      <c r="Z992" s="120">
        <v>-9999</v>
      </c>
      <c r="AA992" s="120">
        <v>68</v>
      </c>
      <c r="AB992" s="120">
        <v>14.5</v>
      </c>
      <c r="AC992" s="120">
        <v>991</v>
      </c>
      <c r="AD992" s="120">
        <v>2263</v>
      </c>
      <c r="AE992" s="120">
        <v>-9999</v>
      </c>
      <c r="AF992" s="120">
        <v>-9999</v>
      </c>
      <c r="AG992" s="120">
        <v>-9999</v>
      </c>
    </row>
    <row r="993" spans="1:33" x14ac:dyDescent="0.25">
      <c r="A993" s="120">
        <v>992</v>
      </c>
      <c r="B993" s="120" t="b">
        <v>0</v>
      </c>
      <c r="C993" s="120">
        <v>0</v>
      </c>
      <c r="D993" s="61">
        <v>4</v>
      </c>
      <c r="E993" s="120">
        <v>1</v>
      </c>
      <c r="F993" s="120" t="s">
        <v>169</v>
      </c>
      <c r="G993" s="55">
        <v>20</v>
      </c>
      <c r="H993" s="120">
        <v>84</v>
      </c>
      <c r="I993" s="57">
        <v>100</v>
      </c>
      <c r="J993" s="120">
        <v>110</v>
      </c>
      <c r="K993" s="120">
        <v>4</v>
      </c>
      <c r="L993" s="120">
        <v>100</v>
      </c>
      <c r="M993" s="120">
        <v>-9999</v>
      </c>
      <c r="N993" s="120">
        <v>-9999</v>
      </c>
      <c r="O993" s="120">
        <v>2</v>
      </c>
      <c r="P993" s="120">
        <v>-9999</v>
      </c>
      <c r="Q993" s="120">
        <v>21</v>
      </c>
      <c r="R993" s="120">
        <v>17.5</v>
      </c>
      <c r="S993" s="148">
        <v>20.799999237060501</v>
      </c>
      <c r="T993" s="120">
        <v>-9999</v>
      </c>
      <c r="U993" s="120">
        <v>15</v>
      </c>
      <c r="V993" s="120">
        <v>-9999</v>
      </c>
      <c r="W993" s="120">
        <v>-9999</v>
      </c>
      <c r="X993" s="120">
        <v>-9999</v>
      </c>
      <c r="Y993" s="120">
        <v>-9999</v>
      </c>
      <c r="Z993" s="120">
        <v>-9999</v>
      </c>
      <c r="AA993" s="120">
        <v>68</v>
      </c>
      <c r="AB993" s="120">
        <v>14.5</v>
      </c>
      <c r="AC993" s="120">
        <v>992</v>
      </c>
      <c r="AD993" s="120">
        <v>2264</v>
      </c>
      <c r="AE993" s="120">
        <v>-9999</v>
      </c>
      <c r="AF993" s="120">
        <v>-9999</v>
      </c>
      <c r="AG993" s="120">
        <v>-9999</v>
      </c>
    </row>
    <row r="994" spans="1:33" x14ac:dyDescent="0.25">
      <c r="A994" s="120">
        <v>993</v>
      </c>
      <c r="B994" s="120" t="b">
        <v>0</v>
      </c>
      <c r="C994" s="120">
        <v>0</v>
      </c>
      <c r="D994" s="61">
        <v>4</v>
      </c>
      <c r="E994" s="120">
        <v>1</v>
      </c>
      <c r="F994" s="120" t="s">
        <v>169</v>
      </c>
      <c r="G994" s="55">
        <v>20</v>
      </c>
      <c r="H994" s="120">
        <v>79</v>
      </c>
      <c r="I994" s="57">
        <v>110</v>
      </c>
      <c r="J994" s="120">
        <v>120</v>
      </c>
      <c r="K994" s="120">
        <v>4</v>
      </c>
      <c r="L994" s="120">
        <v>100</v>
      </c>
      <c r="M994" s="120">
        <v>-9999</v>
      </c>
      <c r="N994" s="120">
        <v>-9999</v>
      </c>
      <c r="O994" s="120">
        <v>2</v>
      </c>
      <c r="P994" s="120">
        <v>-9999</v>
      </c>
      <c r="Q994" s="120">
        <v>21</v>
      </c>
      <c r="R994" s="120">
        <v>17.5</v>
      </c>
      <c r="S994" s="148">
        <v>22.299999237060501</v>
      </c>
      <c r="T994" s="120">
        <v>-9999</v>
      </c>
      <c r="U994" s="120">
        <v>15</v>
      </c>
      <c r="V994" s="120">
        <v>-9999</v>
      </c>
      <c r="W994" s="120">
        <v>-9999</v>
      </c>
      <c r="X994" s="120">
        <v>-9999</v>
      </c>
      <c r="Y994" s="120">
        <v>-9999</v>
      </c>
      <c r="Z994" s="120">
        <v>-9999</v>
      </c>
      <c r="AA994" s="120">
        <v>68</v>
      </c>
      <c r="AB994" s="120">
        <v>14.5</v>
      </c>
      <c r="AC994" s="120">
        <v>993</v>
      </c>
      <c r="AD994" s="120">
        <v>2265</v>
      </c>
      <c r="AE994" s="120">
        <v>-9999</v>
      </c>
      <c r="AF994" s="120">
        <v>-9999</v>
      </c>
      <c r="AG994" s="120">
        <v>-9999</v>
      </c>
    </row>
    <row r="995" spans="1:33" x14ac:dyDescent="0.25">
      <c r="A995" s="120">
        <v>994</v>
      </c>
      <c r="B995" s="120" t="b">
        <v>0</v>
      </c>
      <c r="C995" s="120">
        <v>0</v>
      </c>
      <c r="D995" s="61">
        <v>4</v>
      </c>
      <c r="E995" s="120">
        <v>1</v>
      </c>
      <c r="F995" s="120" t="s">
        <v>169</v>
      </c>
      <c r="G995" s="55">
        <v>20</v>
      </c>
      <c r="H995" s="120">
        <v>74</v>
      </c>
      <c r="I995" s="57">
        <v>120</v>
      </c>
      <c r="J995" s="120">
        <v>130</v>
      </c>
      <c r="K995" s="120">
        <v>4</v>
      </c>
      <c r="L995" s="120">
        <v>100</v>
      </c>
      <c r="M995" s="120">
        <v>-9999</v>
      </c>
      <c r="N995" s="120">
        <v>-9999</v>
      </c>
      <c r="O995" s="120">
        <v>2</v>
      </c>
      <c r="P995" s="120">
        <v>-9999</v>
      </c>
      <c r="Q995" s="120">
        <v>21</v>
      </c>
      <c r="R995" s="120">
        <v>17.5</v>
      </c>
      <c r="S995" s="148">
        <v>23.700000762939499</v>
      </c>
      <c r="T995" s="120">
        <v>-9999</v>
      </c>
      <c r="U995" s="120">
        <v>15</v>
      </c>
      <c r="V995" s="120">
        <v>-9999</v>
      </c>
      <c r="W995" s="120">
        <v>-9999</v>
      </c>
      <c r="X995" s="120">
        <v>-9999</v>
      </c>
      <c r="Y995" s="120">
        <v>-9999</v>
      </c>
      <c r="Z995" s="120">
        <v>-9999</v>
      </c>
      <c r="AA995" s="120">
        <v>68</v>
      </c>
      <c r="AB995" s="120">
        <v>14.5</v>
      </c>
      <c r="AC995" s="120">
        <v>994</v>
      </c>
      <c r="AD995" s="120">
        <v>2266</v>
      </c>
      <c r="AE995" s="120">
        <v>-9999</v>
      </c>
      <c r="AF995" s="120">
        <v>-9999</v>
      </c>
      <c r="AG995" s="120">
        <v>-9999</v>
      </c>
    </row>
    <row r="996" spans="1:33" x14ac:dyDescent="0.25">
      <c r="A996" s="120">
        <v>995</v>
      </c>
      <c r="B996" s="120" t="b">
        <v>0</v>
      </c>
      <c r="C996" s="120">
        <v>0</v>
      </c>
      <c r="D996" s="61">
        <v>4</v>
      </c>
      <c r="E996" s="120">
        <v>1</v>
      </c>
      <c r="F996" s="120" t="s">
        <v>169</v>
      </c>
      <c r="G996" s="55">
        <v>20</v>
      </c>
      <c r="H996" s="120">
        <v>72</v>
      </c>
      <c r="I996" s="57">
        <v>125</v>
      </c>
      <c r="J996" s="120">
        <v>135</v>
      </c>
      <c r="K996" s="120">
        <v>4</v>
      </c>
      <c r="L996" s="120">
        <v>100</v>
      </c>
      <c r="M996" s="120">
        <v>-9999</v>
      </c>
      <c r="N996" s="120">
        <v>-9999</v>
      </c>
      <c r="O996" s="120">
        <v>2</v>
      </c>
      <c r="P996" s="120">
        <v>-9999</v>
      </c>
      <c r="Q996" s="120">
        <v>21</v>
      </c>
      <c r="R996" s="120">
        <v>17.5</v>
      </c>
      <c r="S996" s="148">
        <v>24.299999237060501</v>
      </c>
      <c r="T996" s="120">
        <v>-9999</v>
      </c>
      <c r="U996" s="120">
        <v>15</v>
      </c>
      <c r="V996" s="120">
        <v>-9999</v>
      </c>
      <c r="W996" s="120">
        <v>-9999</v>
      </c>
      <c r="X996" s="120">
        <v>-9999</v>
      </c>
      <c r="Y996" s="120">
        <v>-9999</v>
      </c>
      <c r="Z996" s="120">
        <v>-9999</v>
      </c>
      <c r="AA996" s="120">
        <v>68</v>
      </c>
      <c r="AB996" s="120">
        <v>14.5</v>
      </c>
      <c r="AC996" s="120">
        <v>995</v>
      </c>
      <c r="AD996" s="120">
        <v>2267</v>
      </c>
      <c r="AE996" s="120">
        <v>-9999</v>
      </c>
      <c r="AF996" s="120">
        <v>-9999</v>
      </c>
      <c r="AG996" s="120">
        <v>-9999</v>
      </c>
    </row>
    <row r="997" spans="1:33" x14ac:dyDescent="0.25">
      <c r="A997" s="120">
        <v>996</v>
      </c>
      <c r="B997" s="120" t="b">
        <v>0</v>
      </c>
      <c r="C997" s="120">
        <v>0</v>
      </c>
      <c r="D997" s="61">
        <v>4</v>
      </c>
      <c r="E997" s="120">
        <v>1</v>
      </c>
      <c r="F997" s="120" t="s">
        <v>170</v>
      </c>
      <c r="G997" s="55">
        <v>25</v>
      </c>
      <c r="H997" s="120">
        <v>187</v>
      </c>
      <c r="I997" s="57">
        <v>30</v>
      </c>
      <c r="J997" s="120">
        <v>40</v>
      </c>
      <c r="K997" s="120">
        <v>4</v>
      </c>
      <c r="L997" s="120">
        <v>100</v>
      </c>
      <c r="M997" s="120">
        <v>-9999</v>
      </c>
      <c r="N997" s="120">
        <v>-9999</v>
      </c>
      <c r="O997" s="120">
        <v>2</v>
      </c>
      <c r="P997" s="120">
        <v>-9999</v>
      </c>
      <c r="Q997" s="120">
        <v>22.600000381469702</v>
      </c>
      <c r="R997" s="120">
        <v>18.700000762939499</v>
      </c>
      <c r="S997" s="148">
        <v>10</v>
      </c>
      <c r="T997" s="120">
        <v>-9999</v>
      </c>
      <c r="U997" s="120">
        <v>15</v>
      </c>
      <c r="V997" s="120">
        <v>-9999</v>
      </c>
      <c r="W997" s="120">
        <v>-9999</v>
      </c>
      <c r="X997" s="120">
        <v>-9999</v>
      </c>
      <c r="Y997" s="120">
        <v>-9999</v>
      </c>
      <c r="Z997" s="120">
        <v>-9999</v>
      </c>
      <c r="AA997" s="120">
        <v>68</v>
      </c>
      <c r="AB997" s="120">
        <v>14.5</v>
      </c>
      <c r="AC997" s="120">
        <v>996</v>
      </c>
      <c r="AD997" s="120">
        <v>2268</v>
      </c>
      <c r="AE997" s="120">
        <v>-9999</v>
      </c>
      <c r="AF997" s="120">
        <v>-9999</v>
      </c>
      <c r="AG997" s="120">
        <v>-9999</v>
      </c>
    </row>
    <row r="998" spans="1:33" x14ac:dyDescent="0.25">
      <c r="A998" s="120">
        <v>997</v>
      </c>
      <c r="B998" s="120" t="b">
        <v>0</v>
      </c>
      <c r="C998" s="120">
        <v>0</v>
      </c>
      <c r="D998" s="61">
        <v>4</v>
      </c>
      <c r="E998" s="120">
        <v>1</v>
      </c>
      <c r="F998" s="120" t="s">
        <v>170</v>
      </c>
      <c r="G998" s="55">
        <v>25</v>
      </c>
      <c r="H998" s="120">
        <v>166</v>
      </c>
      <c r="I998" s="57">
        <v>40</v>
      </c>
      <c r="J998" s="120">
        <v>50</v>
      </c>
      <c r="K998" s="120">
        <v>4</v>
      </c>
      <c r="L998" s="120">
        <v>100</v>
      </c>
      <c r="M998" s="120">
        <v>-9999</v>
      </c>
      <c r="N998" s="120">
        <v>-9999</v>
      </c>
      <c r="O998" s="120">
        <v>2</v>
      </c>
      <c r="P998" s="120">
        <v>-9999</v>
      </c>
      <c r="Q998" s="120">
        <v>23.799999237060501</v>
      </c>
      <c r="R998" s="120">
        <v>19.700000762939499</v>
      </c>
      <c r="S998" s="148">
        <v>11.800000190734901</v>
      </c>
      <c r="T998" s="120">
        <v>-9999</v>
      </c>
      <c r="U998" s="120">
        <v>15</v>
      </c>
      <c r="V998" s="120">
        <v>-9999</v>
      </c>
      <c r="W998" s="120">
        <v>-9999</v>
      </c>
      <c r="X998" s="120">
        <v>-9999</v>
      </c>
      <c r="Y998" s="120">
        <v>-9999</v>
      </c>
      <c r="Z998" s="120">
        <v>-9999</v>
      </c>
      <c r="AA998" s="120">
        <v>68</v>
      </c>
      <c r="AB998" s="120">
        <v>14.5</v>
      </c>
      <c r="AC998" s="120">
        <v>997</v>
      </c>
      <c r="AD998" s="120">
        <v>2269</v>
      </c>
      <c r="AE998" s="120">
        <v>-9999</v>
      </c>
      <c r="AF998" s="120">
        <v>-9999</v>
      </c>
      <c r="AG998" s="120">
        <v>-9999</v>
      </c>
    </row>
    <row r="999" spans="1:33" x14ac:dyDescent="0.25">
      <c r="A999" s="120">
        <v>998</v>
      </c>
      <c r="B999" s="120" t="b">
        <v>0</v>
      </c>
      <c r="C999" s="120">
        <v>0</v>
      </c>
      <c r="D999" s="61">
        <v>4</v>
      </c>
      <c r="E999" s="120">
        <v>1</v>
      </c>
      <c r="F999" s="120" t="s">
        <v>170</v>
      </c>
      <c r="G999" s="55">
        <v>25</v>
      </c>
      <c r="H999" s="120">
        <v>152</v>
      </c>
      <c r="I999" s="57">
        <v>50</v>
      </c>
      <c r="J999" s="120">
        <v>60</v>
      </c>
      <c r="K999" s="120">
        <v>4</v>
      </c>
      <c r="L999" s="120">
        <v>100</v>
      </c>
      <c r="M999" s="120">
        <v>-9999</v>
      </c>
      <c r="N999" s="120">
        <v>-9999</v>
      </c>
      <c r="O999" s="120">
        <v>2</v>
      </c>
      <c r="P999" s="120">
        <v>-9999</v>
      </c>
      <c r="Q999" s="120">
        <v>24.5</v>
      </c>
      <c r="R999" s="120">
        <v>20.299999237060501</v>
      </c>
      <c r="S999" s="148">
        <v>13.300000190734901</v>
      </c>
      <c r="T999" s="120">
        <v>-9999</v>
      </c>
      <c r="U999" s="120">
        <v>15</v>
      </c>
      <c r="V999" s="120">
        <v>-9999</v>
      </c>
      <c r="W999" s="120">
        <v>-9999</v>
      </c>
      <c r="X999" s="120">
        <v>-9999</v>
      </c>
      <c r="Y999" s="120">
        <v>-9999</v>
      </c>
      <c r="Z999" s="120">
        <v>-9999</v>
      </c>
      <c r="AA999" s="120">
        <v>68</v>
      </c>
      <c r="AB999" s="120">
        <v>14.5</v>
      </c>
      <c r="AC999" s="120">
        <v>998</v>
      </c>
      <c r="AD999" s="120">
        <v>2270</v>
      </c>
      <c r="AE999" s="120">
        <v>-9999</v>
      </c>
      <c r="AF999" s="120">
        <v>-9999</v>
      </c>
      <c r="AG999" s="120">
        <v>-9999</v>
      </c>
    </row>
    <row r="1000" spans="1:33" x14ac:dyDescent="0.25">
      <c r="A1000" s="120">
        <v>999</v>
      </c>
      <c r="B1000" s="120" t="b">
        <v>0</v>
      </c>
      <c r="C1000" s="120">
        <v>0</v>
      </c>
      <c r="D1000" s="61">
        <v>4</v>
      </c>
      <c r="E1000" s="120">
        <v>1</v>
      </c>
      <c r="F1000" s="120" t="s">
        <v>170</v>
      </c>
      <c r="G1000" s="55">
        <v>25</v>
      </c>
      <c r="H1000" s="120">
        <v>141</v>
      </c>
      <c r="I1000" s="57">
        <v>60</v>
      </c>
      <c r="J1000" s="120">
        <v>70</v>
      </c>
      <c r="K1000" s="120">
        <v>4</v>
      </c>
      <c r="L1000" s="120">
        <v>100</v>
      </c>
      <c r="M1000" s="120">
        <v>-9999</v>
      </c>
      <c r="N1000" s="120">
        <v>-9999</v>
      </c>
      <c r="O1000" s="120">
        <v>2</v>
      </c>
      <c r="P1000" s="120">
        <v>-9999</v>
      </c>
      <c r="Q1000" s="120">
        <v>25</v>
      </c>
      <c r="R1000" s="120">
        <v>20.700000762939499</v>
      </c>
      <c r="S1000" s="148">
        <v>14.699999809265099</v>
      </c>
      <c r="T1000" s="120">
        <v>-9999</v>
      </c>
      <c r="U1000" s="120">
        <v>15</v>
      </c>
      <c r="V1000" s="120">
        <v>-9999</v>
      </c>
      <c r="W1000" s="120">
        <v>-9999</v>
      </c>
      <c r="X1000" s="120">
        <v>-9999</v>
      </c>
      <c r="Y1000" s="120">
        <v>-9999</v>
      </c>
      <c r="Z1000" s="120">
        <v>-9999</v>
      </c>
      <c r="AA1000" s="120">
        <v>68</v>
      </c>
      <c r="AB1000" s="120">
        <v>14.5</v>
      </c>
      <c r="AC1000" s="120">
        <v>999</v>
      </c>
      <c r="AD1000" s="120">
        <v>2271</v>
      </c>
      <c r="AE1000" s="120">
        <v>-9999</v>
      </c>
      <c r="AF1000" s="120">
        <v>-9999</v>
      </c>
      <c r="AG1000" s="120">
        <v>-9999</v>
      </c>
    </row>
    <row r="1001" spans="1:33" x14ac:dyDescent="0.25">
      <c r="A1001" s="120">
        <v>1000</v>
      </c>
      <c r="B1001" s="120" t="b">
        <v>0</v>
      </c>
      <c r="C1001" s="120">
        <v>0</v>
      </c>
      <c r="D1001" s="61">
        <v>4</v>
      </c>
      <c r="E1001" s="120">
        <v>1</v>
      </c>
      <c r="F1001" s="120" t="s">
        <v>170</v>
      </c>
      <c r="G1001" s="55">
        <v>25</v>
      </c>
      <c r="H1001" s="120">
        <v>130</v>
      </c>
      <c r="I1001" s="57">
        <v>70</v>
      </c>
      <c r="J1001" s="120">
        <v>80</v>
      </c>
      <c r="K1001" s="120">
        <v>4</v>
      </c>
      <c r="L1001" s="120">
        <v>100</v>
      </c>
      <c r="M1001" s="120">
        <v>-9999</v>
      </c>
      <c r="N1001" s="120">
        <v>-9999</v>
      </c>
      <c r="O1001" s="120">
        <v>2</v>
      </c>
      <c r="P1001" s="120">
        <v>-9999</v>
      </c>
      <c r="Q1001" s="120">
        <v>25.399999618530298</v>
      </c>
      <c r="R1001" s="120">
        <v>21</v>
      </c>
      <c r="S1001" s="148">
        <v>16.200000762939499</v>
      </c>
      <c r="T1001" s="120">
        <v>-9999</v>
      </c>
      <c r="U1001" s="120">
        <v>15</v>
      </c>
      <c r="V1001" s="120">
        <v>-9999</v>
      </c>
      <c r="W1001" s="120">
        <v>-9999</v>
      </c>
      <c r="X1001" s="120">
        <v>-9999</v>
      </c>
      <c r="Y1001" s="120">
        <v>-9999</v>
      </c>
      <c r="Z1001" s="120">
        <v>-9999</v>
      </c>
      <c r="AA1001" s="120">
        <v>68</v>
      </c>
      <c r="AB1001" s="120">
        <v>14.5</v>
      </c>
      <c r="AC1001" s="120">
        <v>1000</v>
      </c>
      <c r="AD1001" s="120">
        <v>2272</v>
      </c>
      <c r="AE1001" s="120">
        <v>-9999</v>
      </c>
      <c r="AF1001" s="120">
        <v>-9999</v>
      </c>
      <c r="AG1001" s="120">
        <v>-9999</v>
      </c>
    </row>
    <row r="1002" spans="1:33" x14ac:dyDescent="0.25">
      <c r="A1002" s="120">
        <v>1001</v>
      </c>
      <c r="B1002" s="120" t="b">
        <v>0</v>
      </c>
      <c r="C1002" s="120">
        <v>0</v>
      </c>
      <c r="D1002" s="61">
        <v>4</v>
      </c>
      <c r="E1002" s="120">
        <v>1</v>
      </c>
      <c r="F1002" s="120" t="s">
        <v>170</v>
      </c>
      <c r="G1002" s="55">
        <v>25</v>
      </c>
      <c r="H1002" s="120">
        <v>121</v>
      </c>
      <c r="I1002" s="57">
        <v>80</v>
      </c>
      <c r="J1002" s="120">
        <v>90</v>
      </c>
      <c r="K1002" s="120">
        <v>4</v>
      </c>
      <c r="L1002" s="120">
        <v>100</v>
      </c>
      <c r="M1002" s="120">
        <v>-9999</v>
      </c>
      <c r="N1002" s="120">
        <v>-9999</v>
      </c>
      <c r="O1002" s="120">
        <v>2</v>
      </c>
      <c r="P1002" s="120">
        <v>-9999</v>
      </c>
      <c r="Q1002" s="120">
        <v>25.700000762939499</v>
      </c>
      <c r="R1002" s="120">
        <v>21.200000762939499</v>
      </c>
      <c r="S1002" s="148">
        <v>17.600000381469702</v>
      </c>
      <c r="T1002" s="120">
        <v>-9999</v>
      </c>
      <c r="U1002" s="120">
        <v>15</v>
      </c>
      <c r="V1002" s="120">
        <v>-9999</v>
      </c>
      <c r="W1002" s="120">
        <v>-9999</v>
      </c>
      <c r="X1002" s="120">
        <v>-9999</v>
      </c>
      <c r="Y1002" s="120">
        <v>-9999</v>
      </c>
      <c r="Z1002" s="120">
        <v>-9999</v>
      </c>
      <c r="AA1002" s="120">
        <v>68</v>
      </c>
      <c r="AB1002" s="120">
        <v>14.5</v>
      </c>
      <c r="AC1002" s="120">
        <v>1001</v>
      </c>
      <c r="AD1002" s="120">
        <v>2273</v>
      </c>
      <c r="AE1002" s="120">
        <v>-9999</v>
      </c>
      <c r="AF1002" s="120">
        <v>-9999</v>
      </c>
      <c r="AG1002" s="120">
        <v>-9999</v>
      </c>
    </row>
    <row r="1003" spans="1:33" x14ac:dyDescent="0.25">
      <c r="A1003" s="120">
        <v>1002</v>
      </c>
      <c r="B1003" s="120" t="b">
        <v>0</v>
      </c>
      <c r="C1003" s="120">
        <v>0</v>
      </c>
      <c r="D1003" s="61">
        <v>4</v>
      </c>
      <c r="E1003" s="120">
        <v>1</v>
      </c>
      <c r="F1003" s="120" t="s">
        <v>170</v>
      </c>
      <c r="G1003" s="55">
        <v>25</v>
      </c>
      <c r="H1003" s="120">
        <v>112</v>
      </c>
      <c r="I1003" s="57">
        <v>90</v>
      </c>
      <c r="J1003" s="120">
        <v>100</v>
      </c>
      <c r="K1003" s="120">
        <v>4</v>
      </c>
      <c r="L1003" s="120">
        <v>100</v>
      </c>
      <c r="M1003" s="120">
        <v>-9999</v>
      </c>
      <c r="N1003" s="120">
        <v>-9999</v>
      </c>
      <c r="O1003" s="120">
        <v>2</v>
      </c>
      <c r="P1003" s="120">
        <v>-9999</v>
      </c>
      <c r="Q1003" s="120">
        <v>25.899999618530298</v>
      </c>
      <c r="R1003" s="120">
        <v>21.399999618530298</v>
      </c>
      <c r="S1003" s="148">
        <v>19.200000762939499</v>
      </c>
      <c r="T1003" s="120">
        <v>-9999</v>
      </c>
      <c r="U1003" s="120">
        <v>15</v>
      </c>
      <c r="V1003" s="120">
        <v>-9999</v>
      </c>
      <c r="W1003" s="120">
        <v>-9999</v>
      </c>
      <c r="X1003" s="120">
        <v>-9999</v>
      </c>
      <c r="Y1003" s="120">
        <v>-9999</v>
      </c>
      <c r="Z1003" s="120">
        <v>-9999</v>
      </c>
      <c r="AA1003" s="120">
        <v>68</v>
      </c>
      <c r="AB1003" s="120">
        <v>14.5</v>
      </c>
      <c r="AC1003" s="120">
        <v>1002</v>
      </c>
      <c r="AD1003" s="120">
        <v>2274</v>
      </c>
      <c r="AE1003" s="120">
        <v>-9999</v>
      </c>
      <c r="AF1003" s="120">
        <v>-9999</v>
      </c>
      <c r="AG1003" s="120">
        <v>-9999</v>
      </c>
    </row>
    <row r="1004" spans="1:33" x14ac:dyDescent="0.25">
      <c r="A1004" s="120">
        <v>1003</v>
      </c>
      <c r="B1004" s="120" t="b">
        <v>0</v>
      </c>
      <c r="C1004" s="120">
        <v>0</v>
      </c>
      <c r="D1004" s="61">
        <v>4</v>
      </c>
      <c r="E1004" s="120">
        <v>1</v>
      </c>
      <c r="F1004" s="120" t="s">
        <v>170</v>
      </c>
      <c r="G1004" s="55">
        <v>25</v>
      </c>
      <c r="H1004" s="120">
        <v>105</v>
      </c>
      <c r="I1004" s="57">
        <v>100</v>
      </c>
      <c r="J1004" s="120">
        <v>110</v>
      </c>
      <c r="K1004" s="120">
        <v>4</v>
      </c>
      <c r="L1004" s="120">
        <v>100</v>
      </c>
      <c r="M1004" s="120">
        <v>-9999</v>
      </c>
      <c r="N1004" s="120">
        <v>-9999</v>
      </c>
      <c r="O1004" s="120">
        <v>2</v>
      </c>
      <c r="P1004" s="120">
        <v>-9999</v>
      </c>
      <c r="Q1004" s="120">
        <v>26.299999237060501</v>
      </c>
      <c r="R1004" s="120">
        <v>21.700000762939499</v>
      </c>
      <c r="S1004" s="148">
        <v>20.700000762939499</v>
      </c>
      <c r="T1004" s="120">
        <v>-9999</v>
      </c>
      <c r="U1004" s="120">
        <v>15</v>
      </c>
      <c r="V1004" s="120">
        <v>-9999</v>
      </c>
      <c r="W1004" s="120">
        <v>-9999</v>
      </c>
      <c r="X1004" s="120">
        <v>-9999</v>
      </c>
      <c r="Y1004" s="120">
        <v>-9999</v>
      </c>
      <c r="Z1004" s="120">
        <v>-9999</v>
      </c>
      <c r="AA1004" s="120">
        <v>68</v>
      </c>
      <c r="AB1004" s="120">
        <v>14.5</v>
      </c>
      <c r="AC1004" s="120">
        <v>1003</v>
      </c>
      <c r="AD1004" s="120">
        <v>2275</v>
      </c>
      <c r="AE1004" s="120">
        <v>-9999</v>
      </c>
      <c r="AF1004" s="120">
        <v>-9999</v>
      </c>
      <c r="AG1004" s="120">
        <v>-9999</v>
      </c>
    </row>
    <row r="1005" spans="1:33" x14ac:dyDescent="0.25">
      <c r="A1005" s="120">
        <v>1004</v>
      </c>
      <c r="B1005" s="120" t="b">
        <v>0</v>
      </c>
      <c r="C1005" s="120">
        <v>0</v>
      </c>
      <c r="D1005" s="61">
        <v>4</v>
      </c>
      <c r="E1005" s="120">
        <v>1</v>
      </c>
      <c r="F1005" s="120" t="s">
        <v>170</v>
      </c>
      <c r="G1005" s="55">
        <v>25</v>
      </c>
      <c r="H1005" s="120">
        <v>98</v>
      </c>
      <c r="I1005" s="57">
        <v>110</v>
      </c>
      <c r="J1005" s="120">
        <v>120</v>
      </c>
      <c r="K1005" s="120">
        <v>4</v>
      </c>
      <c r="L1005" s="120">
        <v>100</v>
      </c>
      <c r="M1005" s="120">
        <v>-9999</v>
      </c>
      <c r="N1005" s="120">
        <v>-9999</v>
      </c>
      <c r="O1005" s="120">
        <v>2</v>
      </c>
      <c r="P1005" s="120">
        <v>-9999</v>
      </c>
      <c r="Q1005" s="120">
        <v>26.299999237060501</v>
      </c>
      <c r="R1005" s="120">
        <v>21.700000762939499</v>
      </c>
      <c r="S1005" s="148">
        <v>22.100000381469702</v>
      </c>
      <c r="T1005" s="120">
        <v>-9999</v>
      </c>
      <c r="U1005" s="120">
        <v>15</v>
      </c>
      <c r="V1005" s="120">
        <v>-9999</v>
      </c>
      <c r="W1005" s="120">
        <v>-9999</v>
      </c>
      <c r="X1005" s="120">
        <v>-9999</v>
      </c>
      <c r="Y1005" s="120">
        <v>-9999</v>
      </c>
      <c r="Z1005" s="120">
        <v>-9999</v>
      </c>
      <c r="AA1005" s="120">
        <v>68</v>
      </c>
      <c r="AB1005" s="120">
        <v>14.5</v>
      </c>
      <c r="AC1005" s="120">
        <v>1004</v>
      </c>
      <c r="AD1005" s="120">
        <v>2276</v>
      </c>
      <c r="AE1005" s="120">
        <v>-9999</v>
      </c>
      <c r="AF1005" s="120">
        <v>-9999</v>
      </c>
      <c r="AG1005" s="120">
        <v>-9999</v>
      </c>
    </row>
    <row r="1006" spans="1:33" x14ac:dyDescent="0.25">
      <c r="A1006" s="120">
        <v>1005</v>
      </c>
      <c r="B1006" s="120" t="b">
        <v>0</v>
      </c>
      <c r="C1006" s="120">
        <v>0</v>
      </c>
      <c r="D1006" s="61">
        <v>4</v>
      </c>
      <c r="E1006" s="120">
        <v>1</v>
      </c>
      <c r="F1006" s="120" t="s">
        <v>170</v>
      </c>
      <c r="G1006" s="55">
        <v>25</v>
      </c>
      <c r="H1006" s="120">
        <v>92</v>
      </c>
      <c r="I1006" s="57">
        <v>120</v>
      </c>
      <c r="J1006" s="120">
        <v>130</v>
      </c>
      <c r="K1006" s="120">
        <v>4</v>
      </c>
      <c r="L1006" s="120">
        <v>100</v>
      </c>
      <c r="M1006" s="120">
        <v>-9999</v>
      </c>
      <c r="N1006" s="120">
        <v>-9999</v>
      </c>
      <c r="O1006" s="120">
        <v>2</v>
      </c>
      <c r="P1006" s="120">
        <v>-9999</v>
      </c>
      <c r="Q1006" s="120">
        <v>26.299999237060501</v>
      </c>
      <c r="R1006" s="120">
        <v>21.700000762939499</v>
      </c>
      <c r="S1006" s="148">
        <v>23.5</v>
      </c>
      <c r="T1006" s="120">
        <v>-9999</v>
      </c>
      <c r="U1006" s="120">
        <v>15</v>
      </c>
      <c r="V1006" s="120">
        <v>-9999</v>
      </c>
      <c r="W1006" s="120">
        <v>-9999</v>
      </c>
      <c r="X1006" s="120">
        <v>-9999</v>
      </c>
      <c r="Y1006" s="120">
        <v>-9999</v>
      </c>
      <c r="Z1006" s="120">
        <v>-9999</v>
      </c>
      <c r="AA1006" s="120">
        <v>68</v>
      </c>
      <c r="AB1006" s="120">
        <v>14.5</v>
      </c>
      <c r="AC1006" s="120">
        <v>1005</v>
      </c>
      <c r="AD1006" s="120">
        <v>2277</v>
      </c>
      <c r="AE1006" s="120">
        <v>-9999</v>
      </c>
      <c r="AF1006" s="120">
        <v>-9999</v>
      </c>
      <c r="AG1006" s="120">
        <v>-9999</v>
      </c>
    </row>
    <row r="1007" spans="1:33" x14ac:dyDescent="0.25">
      <c r="A1007" s="120">
        <v>1006</v>
      </c>
      <c r="B1007" s="120" t="b">
        <v>0</v>
      </c>
      <c r="C1007" s="120">
        <v>0</v>
      </c>
      <c r="D1007" s="61">
        <v>4</v>
      </c>
      <c r="E1007" s="120">
        <v>1</v>
      </c>
      <c r="F1007" s="120" t="s">
        <v>170</v>
      </c>
      <c r="G1007" s="55">
        <v>25</v>
      </c>
      <c r="H1007" s="120">
        <v>90</v>
      </c>
      <c r="I1007" s="57">
        <v>125</v>
      </c>
      <c r="J1007" s="120">
        <v>135</v>
      </c>
      <c r="K1007" s="120">
        <v>4</v>
      </c>
      <c r="L1007" s="120">
        <v>100</v>
      </c>
      <c r="M1007" s="120">
        <v>-9999</v>
      </c>
      <c r="N1007" s="120">
        <v>-9999</v>
      </c>
      <c r="O1007" s="120">
        <v>2</v>
      </c>
      <c r="P1007" s="120">
        <v>-9999</v>
      </c>
      <c r="Q1007" s="120">
        <v>26.299999237060501</v>
      </c>
      <c r="R1007" s="120">
        <v>21.700000762939499</v>
      </c>
      <c r="S1007" s="148">
        <v>24.100000381469702</v>
      </c>
      <c r="T1007" s="120">
        <v>-9999</v>
      </c>
      <c r="U1007" s="120">
        <v>15</v>
      </c>
      <c r="V1007" s="120">
        <v>-9999</v>
      </c>
      <c r="W1007" s="120">
        <v>-9999</v>
      </c>
      <c r="X1007" s="120">
        <v>-9999</v>
      </c>
      <c r="Y1007" s="120">
        <v>-9999</v>
      </c>
      <c r="Z1007" s="120">
        <v>-9999</v>
      </c>
      <c r="AA1007" s="120">
        <v>68</v>
      </c>
      <c r="AB1007" s="120">
        <v>14.5</v>
      </c>
      <c r="AC1007" s="120">
        <v>1006</v>
      </c>
      <c r="AD1007" s="120">
        <v>2278</v>
      </c>
      <c r="AE1007" s="120">
        <v>-9999</v>
      </c>
      <c r="AF1007" s="120">
        <v>-9999</v>
      </c>
      <c r="AG1007" s="120">
        <v>-9999</v>
      </c>
    </row>
    <row r="1008" spans="1:33" x14ac:dyDescent="0.25">
      <c r="A1008" s="120">
        <v>1007</v>
      </c>
      <c r="B1008" s="120" t="b">
        <v>0</v>
      </c>
      <c r="C1008" s="120">
        <v>0</v>
      </c>
      <c r="D1008" s="61">
        <v>4</v>
      </c>
      <c r="E1008" s="120">
        <v>1</v>
      </c>
      <c r="F1008" s="120" t="s">
        <v>171</v>
      </c>
      <c r="G1008" s="55">
        <v>30</v>
      </c>
      <c r="H1008" s="120">
        <v>224</v>
      </c>
      <c r="I1008" s="57">
        <v>30</v>
      </c>
      <c r="J1008" s="120">
        <v>40</v>
      </c>
      <c r="K1008" s="120">
        <v>4</v>
      </c>
      <c r="L1008" s="120">
        <v>100</v>
      </c>
      <c r="M1008" s="120">
        <v>-9999</v>
      </c>
      <c r="N1008" s="120">
        <v>-9999</v>
      </c>
      <c r="O1008" s="120">
        <v>2</v>
      </c>
      <c r="P1008" s="120">
        <v>-9999</v>
      </c>
      <c r="Q1008" s="120">
        <v>27.100000381469702</v>
      </c>
      <c r="R1008" s="120">
        <v>22.200000762939499</v>
      </c>
      <c r="S1008" s="148">
        <v>9.8999996185302699</v>
      </c>
      <c r="T1008" s="120">
        <v>-9999</v>
      </c>
      <c r="U1008" s="120">
        <v>15</v>
      </c>
      <c r="V1008" s="120">
        <v>-9999</v>
      </c>
      <c r="W1008" s="120">
        <v>-9999</v>
      </c>
      <c r="X1008" s="120">
        <v>-9999</v>
      </c>
      <c r="Y1008" s="120">
        <v>-9999</v>
      </c>
      <c r="Z1008" s="120">
        <v>-9999</v>
      </c>
      <c r="AA1008" s="120">
        <v>68</v>
      </c>
      <c r="AB1008" s="120">
        <v>14.5</v>
      </c>
      <c r="AC1008" s="120">
        <v>1007</v>
      </c>
      <c r="AD1008" s="120">
        <v>2279</v>
      </c>
      <c r="AE1008" s="120">
        <v>-9999</v>
      </c>
      <c r="AF1008" s="120">
        <v>-9999</v>
      </c>
      <c r="AG1008" s="120">
        <v>-9999</v>
      </c>
    </row>
    <row r="1009" spans="1:33" x14ac:dyDescent="0.25">
      <c r="A1009" s="120">
        <v>1008</v>
      </c>
      <c r="B1009" s="120" t="b">
        <v>0</v>
      </c>
      <c r="C1009" s="120">
        <v>0</v>
      </c>
      <c r="D1009" s="61">
        <v>4</v>
      </c>
      <c r="E1009" s="120">
        <v>1</v>
      </c>
      <c r="F1009" s="120" t="s">
        <v>171</v>
      </c>
      <c r="G1009" s="55">
        <v>30</v>
      </c>
      <c r="H1009" s="120">
        <v>199</v>
      </c>
      <c r="I1009" s="57">
        <v>40</v>
      </c>
      <c r="J1009" s="120">
        <v>50</v>
      </c>
      <c r="K1009" s="120">
        <v>4</v>
      </c>
      <c r="L1009" s="120">
        <v>100</v>
      </c>
      <c r="M1009" s="120">
        <v>-9999</v>
      </c>
      <c r="N1009" s="120">
        <v>-9999</v>
      </c>
      <c r="O1009" s="120">
        <v>2</v>
      </c>
      <c r="P1009" s="120">
        <v>-9999</v>
      </c>
      <c r="Q1009" s="120">
        <v>28.5</v>
      </c>
      <c r="R1009" s="120">
        <v>23.399999618530298</v>
      </c>
      <c r="S1009" s="148">
        <v>11.699999809265099</v>
      </c>
      <c r="T1009" s="120">
        <v>-9999</v>
      </c>
      <c r="U1009" s="120">
        <v>15</v>
      </c>
      <c r="V1009" s="120">
        <v>-9999</v>
      </c>
      <c r="W1009" s="120">
        <v>-9999</v>
      </c>
      <c r="X1009" s="120">
        <v>-9999</v>
      </c>
      <c r="Y1009" s="120">
        <v>-9999</v>
      </c>
      <c r="Z1009" s="120">
        <v>-9999</v>
      </c>
      <c r="AA1009" s="120">
        <v>68</v>
      </c>
      <c r="AB1009" s="120">
        <v>14.5</v>
      </c>
      <c r="AC1009" s="120">
        <v>1008</v>
      </c>
      <c r="AD1009" s="120">
        <v>2280</v>
      </c>
      <c r="AE1009" s="120">
        <v>-9999</v>
      </c>
      <c r="AF1009" s="120">
        <v>-9999</v>
      </c>
      <c r="AG1009" s="120">
        <v>-9999</v>
      </c>
    </row>
    <row r="1010" spans="1:33" x14ac:dyDescent="0.25">
      <c r="A1010" s="120">
        <v>1009</v>
      </c>
      <c r="B1010" s="120" t="b">
        <v>0</v>
      </c>
      <c r="C1010" s="120">
        <v>0</v>
      </c>
      <c r="D1010" s="61">
        <v>4</v>
      </c>
      <c r="E1010" s="120">
        <v>1</v>
      </c>
      <c r="F1010" s="120" t="s">
        <v>171</v>
      </c>
      <c r="G1010" s="55">
        <v>30</v>
      </c>
      <c r="H1010" s="120">
        <v>183</v>
      </c>
      <c r="I1010" s="57">
        <v>50</v>
      </c>
      <c r="J1010" s="120">
        <v>60</v>
      </c>
      <c r="K1010" s="120">
        <v>4</v>
      </c>
      <c r="L1010" s="120">
        <v>100</v>
      </c>
      <c r="M1010" s="120">
        <v>-9999</v>
      </c>
      <c r="N1010" s="120">
        <v>-9999</v>
      </c>
      <c r="O1010" s="120">
        <v>2</v>
      </c>
      <c r="P1010" s="120">
        <v>-9999</v>
      </c>
      <c r="Q1010" s="120">
        <v>29.399999618530298</v>
      </c>
      <c r="R1010" s="120">
        <v>24.100000381469702</v>
      </c>
      <c r="S1010" s="148">
        <v>13.199999809265099</v>
      </c>
      <c r="T1010" s="120">
        <v>-9999</v>
      </c>
      <c r="U1010" s="120">
        <v>15</v>
      </c>
      <c r="V1010" s="120">
        <v>-9999</v>
      </c>
      <c r="W1010" s="120">
        <v>-9999</v>
      </c>
      <c r="X1010" s="120">
        <v>-9999</v>
      </c>
      <c r="Y1010" s="120">
        <v>-9999</v>
      </c>
      <c r="Z1010" s="120">
        <v>-9999</v>
      </c>
      <c r="AA1010" s="120">
        <v>68</v>
      </c>
      <c r="AB1010" s="120">
        <v>14.5</v>
      </c>
      <c r="AC1010" s="120">
        <v>1009</v>
      </c>
      <c r="AD1010" s="120">
        <v>2281</v>
      </c>
      <c r="AE1010" s="120">
        <v>-9999</v>
      </c>
      <c r="AF1010" s="120">
        <v>-9999</v>
      </c>
      <c r="AG1010" s="120">
        <v>-9999</v>
      </c>
    </row>
    <row r="1011" spans="1:33" x14ac:dyDescent="0.25">
      <c r="A1011" s="120">
        <v>1010</v>
      </c>
      <c r="B1011" s="120" t="b">
        <v>0</v>
      </c>
      <c r="C1011" s="120">
        <v>0</v>
      </c>
      <c r="D1011" s="61">
        <v>4</v>
      </c>
      <c r="E1011" s="120">
        <v>1</v>
      </c>
      <c r="F1011" s="120" t="s">
        <v>171</v>
      </c>
      <c r="G1011" s="55">
        <v>30</v>
      </c>
      <c r="H1011" s="120">
        <v>169</v>
      </c>
      <c r="I1011" s="57">
        <v>60</v>
      </c>
      <c r="J1011" s="120">
        <v>70</v>
      </c>
      <c r="K1011" s="120">
        <v>4</v>
      </c>
      <c r="L1011" s="120">
        <v>100</v>
      </c>
      <c r="M1011" s="120">
        <v>-9999</v>
      </c>
      <c r="N1011" s="120">
        <v>-9999</v>
      </c>
      <c r="O1011" s="120">
        <v>2</v>
      </c>
      <c r="P1011" s="120">
        <v>-9999</v>
      </c>
      <c r="Q1011" s="120">
        <v>30</v>
      </c>
      <c r="R1011" s="120">
        <v>24.600000381469702</v>
      </c>
      <c r="S1011" s="148">
        <v>14.6000003814697</v>
      </c>
      <c r="T1011" s="120">
        <v>-9999</v>
      </c>
      <c r="U1011" s="120">
        <v>15</v>
      </c>
      <c r="V1011" s="120">
        <v>-9999</v>
      </c>
      <c r="W1011" s="120">
        <v>-9999</v>
      </c>
      <c r="X1011" s="120">
        <v>-9999</v>
      </c>
      <c r="Y1011" s="120">
        <v>-9999</v>
      </c>
      <c r="Z1011" s="120">
        <v>-9999</v>
      </c>
      <c r="AA1011" s="120">
        <v>68</v>
      </c>
      <c r="AB1011" s="120">
        <v>14.5</v>
      </c>
      <c r="AC1011" s="120">
        <v>1010</v>
      </c>
      <c r="AD1011" s="120">
        <v>2282</v>
      </c>
      <c r="AE1011" s="120">
        <v>-9999</v>
      </c>
      <c r="AF1011" s="120">
        <v>-9999</v>
      </c>
      <c r="AG1011" s="120">
        <v>-9999</v>
      </c>
    </row>
    <row r="1012" spans="1:33" x14ac:dyDescent="0.25">
      <c r="A1012" s="120">
        <v>1011</v>
      </c>
      <c r="B1012" s="120" t="b">
        <v>0</v>
      </c>
      <c r="C1012" s="120">
        <v>0</v>
      </c>
      <c r="D1012" s="61">
        <v>4</v>
      </c>
      <c r="E1012" s="120">
        <v>1</v>
      </c>
      <c r="F1012" s="120" t="s">
        <v>171</v>
      </c>
      <c r="G1012" s="55">
        <v>30</v>
      </c>
      <c r="H1012" s="120">
        <v>156</v>
      </c>
      <c r="I1012" s="57">
        <v>70</v>
      </c>
      <c r="J1012" s="120">
        <v>80</v>
      </c>
      <c r="K1012" s="120">
        <v>4</v>
      </c>
      <c r="L1012" s="120">
        <v>100</v>
      </c>
      <c r="M1012" s="120">
        <v>-9999</v>
      </c>
      <c r="N1012" s="120">
        <v>-9999</v>
      </c>
      <c r="O1012" s="120">
        <v>2</v>
      </c>
      <c r="P1012" s="120">
        <v>-9999</v>
      </c>
      <c r="Q1012" s="120">
        <v>30.5</v>
      </c>
      <c r="R1012" s="120">
        <v>25</v>
      </c>
      <c r="S1012" s="148">
        <v>16.100000381469702</v>
      </c>
      <c r="T1012" s="120">
        <v>-9999</v>
      </c>
      <c r="U1012" s="120">
        <v>15</v>
      </c>
      <c r="V1012" s="120">
        <v>-9999</v>
      </c>
      <c r="W1012" s="120">
        <v>-9999</v>
      </c>
      <c r="X1012" s="120">
        <v>-9999</v>
      </c>
      <c r="Y1012" s="120">
        <v>-9999</v>
      </c>
      <c r="Z1012" s="120">
        <v>-9999</v>
      </c>
      <c r="AA1012" s="120">
        <v>68</v>
      </c>
      <c r="AB1012" s="120">
        <v>14.5</v>
      </c>
      <c r="AC1012" s="120">
        <v>1011</v>
      </c>
      <c r="AD1012" s="120">
        <v>2283</v>
      </c>
      <c r="AE1012" s="120">
        <v>-9999</v>
      </c>
      <c r="AF1012" s="120">
        <v>-9999</v>
      </c>
      <c r="AG1012" s="120">
        <v>-9999</v>
      </c>
    </row>
    <row r="1013" spans="1:33" x14ac:dyDescent="0.25">
      <c r="A1013" s="120">
        <v>1012</v>
      </c>
      <c r="B1013" s="120" t="b">
        <v>0</v>
      </c>
      <c r="C1013" s="120">
        <v>0</v>
      </c>
      <c r="D1013" s="61">
        <v>4</v>
      </c>
      <c r="E1013" s="120">
        <v>1</v>
      </c>
      <c r="F1013" s="120" t="s">
        <v>171</v>
      </c>
      <c r="G1013" s="55">
        <v>30</v>
      </c>
      <c r="H1013" s="120">
        <v>145</v>
      </c>
      <c r="I1013" s="57">
        <v>80</v>
      </c>
      <c r="J1013" s="120">
        <v>90</v>
      </c>
      <c r="K1013" s="120">
        <v>4</v>
      </c>
      <c r="L1013" s="120">
        <v>100</v>
      </c>
      <c r="M1013" s="120">
        <v>-9999</v>
      </c>
      <c r="N1013" s="120">
        <v>-9999</v>
      </c>
      <c r="O1013" s="120">
        <v>2</v>
      </c>
      <c r="P1013" s="120">
        <v>-9999</v>
      </c>
      <c r="Q1013" s="120">
        <v>30.799999237060501</v>
      </c>
      <c r="R1013" s="120">
        <v>25.299999237060501</v>
      </c>
      <c r="S1013" s="148">
        <v>17.5</v>
      </c>
      <c r="T1013" s="120">
        <v>-9999</v>
      </c>
      <c r="U1013" s="120">
        <v>15</v>
      </c>
      <c r="V1013" s="120">
        <v>-9999</v>
      </c>
      <c r="W1013" s="120">
        <v>-9999</v>
      </c>
      <c r="X1013" s="120">
        <v>-9999</v>
      </c>
      <c r="Y1013" s="120">
        <v>-9999</v>
      </c>
      <c r="Z1013" s="120">
        <v>-9999</v>
      </c>
      <c r="AA1013" s="120">
        <v>68</v>
      </c>
      <c r="AB1013" s="120">
        <v>14.5</v>
      </c>
      <c r="AC1013" s="120">
        <v>1012</v>
      </c>
      <c r="AD1013" s="120">
        <v>2284</v>
      </c>
      <c r="AE1013" s="120">
        <v>-9999</v>
      </c>
      <c r="AF1013" s="120">
        <v>-9999</v>
      </c>
      <c r="AG1013" s="120">
        <v>-9999</v>
      </c>
    </row>
    <row r="1014" spans="1:33" x14ac:dyDescent="0.25">
      <c r="A1014" s="120">
        <v>1013</v>
      </c>
      <c r="B1014" s="120" t="b">
        <v>0</v>
      </c>
      <c r="C1014" s="120">
        <v>0</v>
      </c>
      <c r="D1014" s="61">
        <v>4</v>
      </c>
      <c r="E1014" s="120">
        <v>1</v>
      </c>
      <c r="F1014" s="120" t="s">
        <v>171</v>
      </c>
      <c r="G1014" s="55">
        <v>30</v>
      </c>
      <c r="H1014" s="120">
        <v>134</v>
      </c>
      <c r="I1014" s="57">
        <v>90</v>
      </c>
      <c r="J1014" s="120">
        <v>100</v>
      </c>
      <c r="K1014" s="120">
        <v>4</v>
      </c>
      <c r="L1014" s="120">
        <v>100</v>
      </c>
      <c r="M1014" s="120">
        <v>-9999</v>
      </c>
      <c r="N1014" s="120">
        <v>-9999</v>
      </c>
      <c r="O1014" s="120">
        <v>2</v>
      </c>
      <c r="P1014" s="120">
        <v>-9999</v>
      </c>
      <c r="Q1014" s="120">
        <v>31.100000381469702</v>
      </c>
      <c r="R1014" s="120">
        <v>25.5</v>
      </c>
      <c r="S1014" s="148">
        <v>19</v>
      </c>
      <c r="T1014" s="120">
        <v>-9999</v>
      </c>
      <c r="U1014" s="120">
        <v>15</v>
      </c>
      <c r="V1014" s="120">
        <v>-9999</v>
      </c>
      <c r="W1014" s="120">
        <v>-9999</v>
      </c>
      <c r="X1014" s="120">
        <v>-9999</v>
      </c>
      <c r="Y1014" s="120">
        <v>-9999</v>
      </c>
      <c r="Z1014" s="120">
        <v>-9999</v>
      </c>
      <c r="AA1014" s="120">
        <v>68</v>
      </c>
      <c r="AB1014" s="120">
        <v>14.5</v>
      </c>
      <c r="AC1014" s="120">
        <v>1013</v>
      </c>
      <c r="AD1014" s="120">
        <v>2285</v>
      </c>
      <c r="AE1014" s="120">
        <v>-9999</v>
      </c>
      <c r="AF1014" s="120">
        <v>-9999</v>
      </c>
      <c r="AG1014" s="120">
        <v>-9999</v>
      </c>
    </row>
    <row r="1015" spans="1:33" x14ac:dyDescent="0.25">
      <c r="A1015" s="120">
        <v>1014</v>
      </c>
      <c r="B1015" s="120" t="b">
        <v>0</v>
      </c>
      <c r="C1015" s="120">
        <v>0</v>
      </c>
      <c r="D1015" s="61">
        <v>4</v>
      </c>
      <c r="E1015" s="120">
        <v>1</v>
      </c>
      <c r="F1015" s="120" t="s">
        <v>171</v>
      </c>
      <c r="G1015" s="55">
        <v>30</v>
      </c>
      <c r="H1015" s="120">
        <v>126</v>
      </c>
      <c r="I1015" s="57">
        <v>100</v>
      </c>
      <c r="J1015" s="120">
        <v>110</v>
      </c>
      <c r="K1015" s="120">
        <v>4</v>
      </c>
      <c r="L1015" s="120">
        <v>100</v>
      </c>
      <c r="M1015" s="120">
        <v>-9999</v>
      </c>
      <c r="N1015" s="120">
        <v>-9999</v>
      </c>
      <c r="O1015" s="120">
        <v>2</v>
      </c>
      <c r="P1015" s="120">
        <v>-9999</v>
      </c>
      <c r="Q1015" s="120">
        <v>31.5</v>
      </c>
      <c r="R1015" s="120">
        <v>25.799999237060501</v>
      </c>
      <c r="S1015" s="148">
        <v>20.5</v>
      </c>
      <c r="T1015" s="120">
        <v>-9999</v>
      </c>
      <c r="U1015" s="120">
        <v>15</v>
      </c>
      <c r="V1015" s="120">
        <v>-9999</v>
      </c>
      <c r="W1015" s="120">
        <v>-9999</v>
      </c>
      <c r="X1015" s="120">
        <v>-9999</v>
      </c>
      <c r="Y1015" s="120">
        <v>-9999</v>
      </c>
      <c r="Z1015" s="120">
        <v>-9999</v>
      </c>
      <c r="AA1015" s="120">
        <v>68</v>
      </c>
      <c r="AB1015" s="120">
        <v>14.5</v>
      </c>
      <c r="AC1015" s="120">
        <v>1014</v>
      </c>
      <c r="AD1015" s="120">
        <v>2286</v>
      </c>
      <c r="AE1015" s="120">
        <v>-9999</v>
      </c>
      <c r="AF1015" s="120">
        <v>-9999</v>
      </c>
      <c r="AG1015" s="120">
        <v>-9999</v>
      </c>
    </row>
    <row r="1016" spans="1:33" x14ac:dyDescent="0.25">
      <c r="A1016" s="120">
        <v>1015</v>
      </c>
      <c r="B1016" s="120" t="b">
        <v>0</v>
      </c>
      <c r="C1016" s="120">
        <v>0</v>
      </c>
      <c r="D1016" s="61">
        <v>4</v>
      </c>
      <c r="E1016" s="120">
        <v>1</v>
      </c>
      <c r="F1016" s="120" t="s">
        <v>171</v>
      </c>
      <c r="G1016" s="55">
        <v>30</v>
      </c>
      <c r="H1016" s="120">
        <v>118</v>
      </c>
      <c r="I1016" s="57">
        <v>110</v>
      </c>
      <c r="J1016" s="120">
        <v>120</v>
      </c>
      <c r="K1016" s="120">
        <v>4</v>
      </c>
      <c r="L1016" s="120">
        <v>100</v>
      </c>
      <c r="M1016" s="120">
        <v>-9999</v>
      </c>
      <c r="N1016" s="120">
        <v>-9999</v>
      </c>
      <c r="O1016" s="120">
        <v>2</v>
      </c>
      <c r="P1016" s="120">
        <v>-9999</v>
      </c>
      <c r="Q1016" s="120">
        <v>31.5</v>
      </c>
      <c r="R1016" s="120">
        <v>25.799999237060501</v>
      </c>
      <c r="S1016" s="148">
        <v>21.899999618530298</v>
      </c>
      <c r="T1016" s="120">
        <v>-9999</v>
      </c>
      <c r="U1016" s="120">
        <v>15</v>
      </c>
      <c r="V1016" s="120">
        <v>-9999</v>
      </c>
      <c r="W1016" s="120">
        <v>-9999</v>
      </c>
      <c r="X1016" s="120">
        <v>-9999</v>
      </c>
      <c r="Y1016" s="120">
        <v>-9999</v>
      </c>
      <c r="Z1016" s="120">
        <v>-9999</v>
      </c>
      <c r="AA1016" s="120">
        <v>68</v>
      </c>
      <c r="AB1016" s="120">
        <v>14.5</v>
      </c>
      <c r="AC1016" s="120">
        <v>1015</v>
      </c>
      <c r="AD1016" s="120">
        <v>2287</v>
      </c>
      <c r="AE1016" s="120">
        <v>-9999</v>
      </c>
      <c r="AF1016" s="120">
        <v>-9999</v>
      </c>
      <c r="AG1016" s="120">
        <v>-9999</v>
      </c>
    </row>
    <row r="1017" spans="1:33" x14ac:dyDescent="0.25">
      <c r="A1017" s="120">
        <v>1016</v>
      </c>
      <c r="B1017" s="120" t="b">
        <v>0</v>
      </c>
      <c r="C1017" s="120">
        <v>0</v>
      </c>
      <c r="D1017" s="61">
        <v>4</v>
      </c>
      <c r="E1017" s="120">
        <v>1</v>
      </c>
      <c r="F1017" s="120" t="s">
        <v>171</v>
      </c>
      <c r="G1017" s="55">
        <v>30</v>
      </c>
      <c r="H1017" s="120">
        <v>111</v>
      </c>
      <c r="I1017" s="57">
        <v>120</v>
      </c>
      <c r="J1017" s="120">
        <v>130</v>
      </c>
      <c r="K1017" s="120">
        <v>4</v>
      </c>
      <c r="L1017" s="120">
        <v>100</v>
      </c>
      <c r="M1017" s="120">
        <v>-9999</v>
      </c>
      <c r="N1017" s="120">
        <v>-9999</v>
      </c>
      <c r="O1017" s="120">
        <v>2</v>
      </c>
      <c r="P1017" s="120">
        <v>-9999</v>
      </c>
      <c r="Q1017" s="120">
        <v>31.5</v>
      </c>
      <c r="R1017" s="120">
        <v>25.799999237060501</v>
      </c>
      <c r="S1017" s="148">
        <v>23.299999237060501</v>
      </c>
      <c r="T1017" s="120">
        <v>-9999</v>
      </c>
      <c r="U1017" s="120">
        <v>15</v>
      </c>
      <c r="V1017" s="120">
        <v>-9999</v>
      </c>
      <c r="W1017" s="120">
        <v>-9999</v>
      </c>
      <c r="X1017" s="120">
        <v>-9999</v>
      </c>
      <c r="Y1017" s="120">
        <v>-9999</v>
      </c>
      <c r="Z1017" s="120">
        <v>-9999</v>
      </c>
      <c r="AA1017" s="120">
        <v>68</v>
      </c>
      <c r="AB1017" s="120">
        <v>14.5</v>
      </c>
      <c r="AC1017" s="120">
        <v>1016</v>
      </c>
      <c r="AD1017" s="120">
        <v>2288</v>
      </c>
      <c r="AE1017" s="120">
        <v>-9999</v>
      </c>
      <c r="AF1017" s="120">
        <v>-9999</v>
      </c>
      <c r="AG1017" s="120">
        <v>-9999</v>
      </c>
    </row>
    <row r="1018" spans="1:33" x14ac:dyDescent="0.25">
      <c r="A1018" s="120">
        <v>1017</v>
      </c>
      <c r="B1018" s="120" t="b">
        <v>0</v>
      </c>
      <c r="C1018" s="120">
        <v>0</v>
      </c>
      <c r="D1018" s="61">
        <v>4</v>
      </c>
      <c r="E1018" s="120">
        <v>1</v>
      </c>
      <c r="F1018" s="120" t="s">
        <v>171</v>
      </c>
      <c r="G1018" s="55">
        <v>30</v>
      </c>
      <c r="H1018" s="120">
        <v>108</v>
      </c>
      <c r="I1018" s="57">
        <v>125</v>
      </c>
      <c r="J1018" s="120">
        <v>135</v>
      </c>
      <c r="K1018" s="120">
        <v>4</v>
      </c>
      <c r="L1018" s="120">
        <v>100</v>
      </c>
      <c r="M1018" s="120">
        <v>-9999</v>
      </c>
      <c r="N1018" s="120">
        <v>-9999</v>
      </c>
      <c r="O1018" s="120">
        <v>2</v>
      </c>
      <c r="P1018" s="120">
        <v>-9999</v>
      </c>
      <c r="Q1018" s="120">
        <v>31.5</v>
      </c>
      <c r="R1018" s="120">
        <v>25.799999237060501</v>
      </c>
      <c r="S1018" s="148">
        <v>23.899999618530298</v>
      </c>
      <c r="T1018" s="120">
        <v>-9999</v>
      </c>
      <c r="U1018" s="120">
        <v>15</v>
      </c>
      <c r="V1018" s="120">
        <v>-9999</v>
      </c>
      <c r="W1018" s="120">
        <v>-9999</v>
      </c>
      <c r="X1018" s="120">
        <v>-9999</v>
      </c>
      <c r="Y1018" s="120">
        <v>-9999</v>
      </c>
      <c r="Z1018" s="120">
        <v>-9999</v>
      </c>
      <c r="AA1018" s="120">
        <v>68</v>
      </c>
      <c r="AB1018" s="120">
        <v>14.5</v>
      </c>
      <c r="AC1018" s="120">
        <v>1017</v>
      </c>
      <c r="AD1018" s="120">
        <v>2289</v>
      </c>
      <c r="AE1018" s="120">
        <v>-9999</v>
      </c>
      <c r="AF1018" s="120">
        <v>-9999</v>
      </c>
      <c r="AG1018" s="120">
        <v>-9999</v>
      </c>
    </row>
    <row r="1019" spans="1:33" x14ac:dyDescent="0.25">
      <c r="A1019" s="120">
        <v>1018</v>
      </c>
      <c r="B1019" s="120" t="b">
        <v>0</v>
      </c>
      <c r="C1019" s="120">
        <v>0</v>
      </c>
      <c r="D1019" s="61">
        <v>4</v>
      </c>
      <c r="E1019" s="120">
        <v>1</v>
      </c>
      <c r="F1019" s="120" t="s">
        <v>172</v>
      </c>
      <c r="G1019" s="55">
        <v>40</v>
      </c>
      <c r="H1019" s="120">
        <v>309</v>
      </c>
      <c r="I1019" s="57">
        <v>30</v>
      </c>
      <c r="J1019" s="120">
        <v>40</v>
      </c>
      <c r="K1019" s="120">
        <v>4</v>
      </c>
      <c r="L1019" s="120">
        <v>100</v>
      </c>
      <c r="M1019" s="120">
        <v>-9999</v>
      </c>
      <c r="N1019" s="120">
        <v>-9999</v>
      </c>
      <c r="O1019" s="120">
        <v>2</v>
      </c>
      <c r="P1019" s="120">
        <v>-9999</v>
      </c>
      <c r="Q1019" s="120">
        <v>36.099998474121101</v>
      </c>
      <c r="R1019" s="120">
        <v>29.899999618530298</v>
      </c>
      <c r="S1019" s="148">
        <v>9.6999998092651403</v>
      </c>
      <c r="T1019" s="120">
        <v>-9999</v>
      </c>
      <c r="U1019" s="120">
        <v>15</v>
      </c>
      <c r="V1019" s="120">
        <v>-9999</v>
      </c>
      <c r="W1019" s="120">
        <v>-9999</v>
      </c>
      <c r="X1019" s="120">
        <v>-9999</v>
      </c>
      <c r="Y1019" s="120">
        <v>-9999</v>
      </c>
      <c r="Z1019" s="120">
        <v>-9999</v>
      </c>
      <c r="AA1019" s="120">
        <v>68</v>
      </c>
      <c r="AB1019" s="120">
        <v>14.5</v>
      </c>
      <c r="AC1019" s="120">
        <v>1018</v>
      </c>
      <c r="AD1019" s="120">
        <v>2290</v>
      </c>
      <c r="AE1019" s="120">
        <v>-9999</v>
      </c>
      <c r="AF1019" s="120">
        <v>-9999</v>
      </c>
      <c r="AG1019" s="120">
        <v>-9999</v>
      </c>
    </row>
    <row r="1020" spans="1:33" x14ac:dyDescent="0.25">
      <c r="A1020" s="120">
        <v>1019</v>
      </c>
      <c r="B1020" s="120" t="b">
        <v>0</v>
      </c>
      <c r="C1020" s="120">
        <v>0</v>
      </c>
      <c r="D1020" s="61">
        <v>4</v>
      </c>
      <c r="E1020" s="120">
        <v>1</v>
      </c>
      <c r="F1020" s="120" t="s">
        <v>172</v>
      </c>
      <c r="G1020" s="55">
        <v>40</v>
      </c>
      <c r="H1020" s="120">
        <v>276</v>
      </c>
      <c r="I1020" s="57">
        <v>40</v>
      </c>
      <c r="J1020" s="120">
        <v>50</v>
      </c>
      <c r="K1020" s="120">
        <v>4</v>
      </c>
      <c r="L1020" s="120">
        <v>100</v>
      </c>
      <c r="M1020" s="120">
        <v>-9999</v>
      </c>
      <c r="N1020" s="120">
        <v>-9999</v>
      </c>
      <c r="O1020" s="120">
        <v>2</v>
      </c>
      <c r="P1020" s="120">
        <v>-9999</v>
      </c>
      <c r="Q1020" s="120">
        <v>38</v>
      </c>
      <c r="R1020" s="120">
        <v>31.5</v>
      </c>
      <c r="S1020" s="148">
        <v>11.3999996185303</v>
      </c>
      <c r="T1020" s="120">
        <v>-9999</v>
      </c>
      <c r="U1020" s="120">
        <v>15</v>
      </c>
      <c r="V1020" s="120">
        <v>-9999</v>
      </c>
      <c r="W1020" s="120">
        <v>-9999</v>
      </c>
      <c r="X1020" s="120">
        <v>-9999</v>
      </c>
      <c r="Y1020" s="120">
        <v>-9999</v>
      </c>
      <c r="Z1020" s="120">
        <v>-9999</v>
      </c>
      <c r="AA1020" s="120">
        <v>68</v>
      </c>
      <c r="AB1020" s="120">
        <v>14.5</v>
      </c>
      <c r="AC1020" s="120">
        <v>1019</v>
      </c>
      <c r="AD1020" s="120">
        <v>2291</v>
      </c>
      <c r="AE1020" s="120">
        <v>-9999</v>
      </c>
      <c r="AF1020" s="120">
        <v>-9999</v>
      </c>
      <c r="AG1020" s="120">
        <v>-9999</v>
      </c>
    </row>
    <row r="1021" spans="1:33" x14ac:dyDescent="0.25">
      <c r="A1021" s="120">
        <v>1020</v>
      </c>
      <c r="B1021" s="120" t="b">
        <v>0</v>
      </c>
      <c r="C1021" s="120">
        <v>0</v>
      </c>
      <c r="D1021" s="61">
        <v>4</v>
      </c>
      <c r="E1021" s="120">
        <v>1</v>
      </c>
      <c r="F1021" s="120" t="s">
        <v>172</v>
      </c>
      <c r="G1021" s="55">
        <v>40</v>
      </c>
      <c r="H1021" s="120">
        <v>253</v>
      </c>
      <c r="I1021" s="57">
        <v>50</v>
      </c>
      <c r="J1021" s="120">
        <v>60</v>
      </c>
      <c r="K1021" s="120">
        <v>4</v>
      </c>
      <c r="L1021" s="120">
        <v>100</v>
      </c>
      <c r="M1021" s="120">
        <v>-9999</v>
      </c>
      <c r="N1021" s="120">
        <v>-9999</v>
      </c>
      <c r="O1021" s="120">
        <v>2</v>
      </c>
      <c r="P1021" s="120">
        <v>-9999</v>
      </c>
      <c r="Q1021" s="120">
        <v>39.200000762939503</v>
      </c>
      <c r="R1021" s="120">
        <v>32.400001525878899</v>
      </c>
      <c r="S1021" s="148">
        <v>12.800000190734901</v>
      </c>
      <c r="T1021" s="120">
        <v>-9999</v>
      </c>
      <c r="U1021" s="120">
        <v>15</v>
      </c>
      <c r="V1021" s="120">
        <v>-9999</v>
      </c>
      <c r="W1021" s="120">
        <v>-9999</v>
      </c>
      <c r="X1021" s="120">
        <v>-9999</v>
      </c>
      <c r="Y1021" s="120">
        <v>-9999</v>
      </c>
      <c r="Z1021" s="120">
        <v>-9999</v>
      </c>
      <c r="AA1021" s="120">
        <v>68</v>
      </c>
      <c r="AB1021" s="120">
        <v>14.5</v>
      </c>
      <c r="AC1021" s="120">
        <v>1020</v>
      </c>
      <c r="AD1021" s="120">
        <v>2292</v>
      </c>
      <c r="AE1021" s="120">
        <v>-9999</v>
      </c>
      <c r="AF1021" s="120">
        <v>-9999</v>
      </c>
      <c r="AG1021" s="120">
        <v>-9999</v>
      </c>
    </row>
    <row r="1022" spans="1:33" x14ac:dyDescent="0.25">
      <c r="A1022" s="120">
        <v>1021</v>
      </c>
      <c r="B1022" s="120" t="b">
        <v>0</v>
      </c>
      <c r="C1022" s="120">
        <v>0</v>
      </c>
      <c r="D1022" s="61">
        <v>4</v>
      </c>
      <c r="E1022" s="120">
        <v>1</v>
      </c>
      <c r="F1022" s="120" t="s">
        <v>172</v>
      </c>
      <c r="G1022" s="55">
        <v>40</v>
      </c>
      <c r="H1022" s="120">
        <v>233</v>
      </c>
      <c r="I1022" s="57">
        <v>60</v>
      </c>
      <c r="J1022" s="120">
        <v>70</v>
      </c>
      <c r="K1022" s="120">
        <v>4</v>
      </c>
      <c r="L1022" s="120">
        <v>100</v>
      </c>
      <c r="M1022" s="120">
        <v>-9999</v>
      </c>
      <c r="N1022" s="120">
        <v>-9999</v>
      </c>
      <c r="O1022" s="120">
        <v>2</v>
      </c>
      <c r="P1022" s="120">
        <v>-9999</v>
      </c>
      <c r="Q1022" s="120">
        <v>40.099998474121101</v>
      </c>
      <c r="R1022" s="120">
        <v>33.099998474121101</v>
      </c>
      <c r="S1022" s="148">
        <v>14.199999809265099</v>
      </c>
      <c r="T1022" s="120">
        <v>-9999</v>
      </c>
      <c r="U1022" s="120">
        <v>15</v>
      </c>
      <c r="V1022" s="120">
        <v>-9999</v>
      </c>
      <c r="W1022" s="120">
        <v>-9999</v>
      </c>
      <c r="X1022" s="120">
        <v>-9999</v>
      </c>
      <c r="Y1022" s="120">
        <v>-9999</v>
      </c>
      <c r="Z1022" s="120">
        <v>-9999</v>
      </c>
      <c r="AA1022" s="120">
        <v>68</v>
      </c>
      <c r="AB1022" s="120">
        <v>14.5</v>
      </c>
      <c r="AC1022" s="120">
        <v>1021</v>
      </c>
      <c r="AD1022" s="120">
        <v>2293</v>
      </c>
      <c r="AE1022" s="120">
        <v>-9999</v>
      </c>
      <c r="AF1022" s="120">
        <v>-9999</v>
      </c>
      <c r="AG1022" s="120">
        <v>-9999</v>
      </c>
    </row>
    <row r="1023" spans="1:33" x14ac:dyDescent="0.25">
      <c r="A1023" s="120">
        <v>1022</v>
      </c>
      <c r="B1023" s="120" t="b">
        <v>0</v>
      </c>
      <c r="C1023" s="120">
        <v>0</v>
      </c>
      <c r="D1023" s="61">
        <v>4</v>
      </c>
      <c r="E1023" s="120">
        <v>1</v>
      </c>
      <c r="F1023" s="120" t="s">
        <v>172</v>
      </c>
      <c r="G1023" s="55">
        <v>40</v>
      </c>
      <c r="H1023" s="120">
        <v>216</v>
      </c>
      <c r="I1023" s="57">
        <v>70</v>
      </c>
      <c r="J1023" s="120">
        <v>80</v>
      </c>
      <c r="K1023" s="120">
        <v>4</v>
      </c>
      <c r="L1023" s="120">
        <v>100</v>
      </c>
      <c r="M1023" s="120">
        <v>-9999</v>
      </c>
      <c r="N1023" s="120">
        <v>-9999</v>
      </c>
      <c r="O1023" s="120">
        <v>2</v>
      </c>
      <c r="P1023" s="120">
        <v>-9999</v>
      </c>
      <c r="Q1023" s="120">
        <v>40.700000762939503</v>
      </c>
      <c r="R1023" s="120">
        <v>33.599998474121101</v>
      </c>
      <c r="S1023" s="148">
        <v>15.5</v>
      </c>
      <c r="T1023" s="120">
        <v>-9999</v>
      </c>
      <c r="U1023" s="120">
        <v>15</v>
      </c>
      <c r="V1023" s="120">
        <v>-9999</v>
      </c>
      <c r="W1023" s="120">
        <v>-9999</v>
      </c>
      <c r="X1023" s="120">
        <v>-9999</v>
      </c>
      <c r="Y1023" s="120">
        <v>-9999</v>
      </c>
      <c r="Z1023" s="120">
        <v>-9999</v>
      </c>
      <c r="AA1023" s="120">
        <v>68</v>
      </c>
      <c r="AB1023" s="120">
        <v>14.5</v>
      </c>
      <c r="AC1023" s="120">
        <v>1022</v>
      </c>
      <c r="AD1023" s="120">
        <v>2294</v>
      </c>
      <c r="AE1023" s="120">
        <v>-9999</v>
      </c>
      <c r="AF1023" s="120">
        <v>-9999</v>
      </c>
      <c r="AG1023" s="120">
        <v>-9999</v>
      </c>
    </row>
    <row r="1024" spans="1:33" x14ac:dyDescent="0.25">
      <c r="A1024" s="120">
        <v>1023</v>
      </c>
      <c r="B1024" s="120" t="b">
        <v>0</v>
      </c>
      <c r="C1024" s="120">
        <v>0</v>
      </c>
      <c r="D1024" s="61">
        <v>4</v>
      </c>
      <c r="E1024" s="120">
        <v>1</v>
      </c>
      <c r="F1024" s="120" t="s">
        <v>172</v>
      </c>
      <c r="G1024" s="55">
        <v>40</v>
      </c>
      <c r="H1024" s="120">
        <v>201</v>
      </c>
      <c r="I1024" s="57">
        <v>80</v>
      </c>
      <c r="J1024" s="120">
        <v>90</v>
      </c>
      <c r="K1024" s="120">
        <v>4</v>
      </c>
      <c r="L1024" s="120">
        <v>100</v>
      </c>
      <c r="M1024" s="120">
        <v>-9999</v>
      </c>
      <c r="N1024" s="120">
        <v>-9999</v>
      </c>
      <c r="O1024" s="120">
        <v>2</v>
      </c>
      <c r="P1024" s="120">
        <v>-9999</v>
      </c>
      <c r="Q1024" s="120">
        <v>41.099998474121101</v>
      </c>
      <c r="R1024" s="120">
        <v>34</v>
      </c>
      <c r="S1024" s="148">
        <v>16.899999618530298</v>
      </c>
      <c r="T1024" s="120">
        <v>-9999</v>
      </c>
      <c r="U1024" s="120">
        <v>15</v>
      </c>
      <c r="V1024" s="120">
        <v>-9999</v>
      </c>
      <c r="W1024" s="120">
        <v>-9999</v>
      </c>
      <c r="X1024" s="120">
        <v>-9999</v>
      </c>
      <c r="Y1024" s="120">
        <v>-9999</v>
      </c>
      <c r="Z1024" s="120">
        <v>-9999</v>
      </c>
      <c r="AA1024" s="120">
        <v>68</v>
      </c>
      <c r="AB1024" s="120">
        <v>14.5</v>
      </c>
      <c r="AC1024" s="120">
        <v>1023</v>
      </c>
      <c r="AD1024" s="120">
        <v>2295</v>
      </c>
      <c r="AE1024" s="120">
        <v>-9999</v>
      </c>
      <c r="AF1024" s="120">
        <v>-9999</v>
      </c>
      <c r="AG1024" s="120">
        <v>-9999</v>
      </c>
    </row>
    <row r="1025" spans="1:33" x14ac:dyDescent="0.25">
      <c r="A1025" s="120">
        <v>1024</v>
      </c>
      <c r="B1025" s="120" t="b">
        <v>0</v>
      </c>
      <c r="C1025" s="120">
        <v>0</v>
      </c>
      <c r="D1025" s="61">
        <v>4</v>
      </c>
      <c r="E1025" s="120">
        <v>1</v>
      </c>
      <c r="F1025" s="120" t="s">
        <v>172</v>
      </c>
      <c r="G1025" s="55">
        <v>40</v>
      </c>
      <c r="H1025" s="120">
        <v>189</v>
      </c>
      <c r="I1025" s="57">
        <v>90</v>
      </c>
      <c r="J1025" s="120">
        <v>100</v>
      </c>
      <c r="K1025" s="120">
        <v>4</v>
      </c>
      <c r="L1025" s="120">
        <v>100</v>
      </c>
      <c r="M1025" s="120">
        <v>-9999</v>
      </c>
      <c r="N1025" s="120">
        <v>-9999</v>
      </c>
      <c r="O1025" s="120">
        <v>2</v>
      </c>
      <c r="P1025" s="120">
        <v>-9999</v>
      </c>
      <c r="Q1025" s="120">
        <v>41.5</v>
      </c>
      <c r="R1025" s="120">
        <v>34.299999237060497</v>
      </c>
      <c r="S1025" s="148">
        <v>18.100000381469702</v>
      </c>
      <c r="T1025" s="120">
        <v>-9999</v>
      </c>
      <c r="U1025" s="120">
        <v>15</v>
      </c>
      <c r="V1025" s="120">
        <v>-9999</v>
      </c>
      <c r="W1025" s="120">
        <v>-9999</v>
      </c>
      <c r="X1025" s="120">
        <v>-9999</v>
      </c>
      <c r="Y1025" s="120">
        <v>-9999</v>
      </c>
      <c r="Z1025" s="120">
        <v>-9999</v>
      </c>
      <c r="AA1025" s="120">
        <v>68</v>
      </c>
      <c r="AB1025" s="120">
        <v>14.5</v>
      </c>
      <c r="AC1025" s="120">
        <v>1024</v>
      </c>
      <c r="AD1025" s="120">
        <v>2296</v>
      </c>
      <c r="AE1025" s="120">
        <v>-9999</v>
      </c>
      <c r="AF1025" s="120">
        <v>-9999</v>
      </c>
      <c r="AG1025" s="120">
        <v>-9999</v>
      </c>
    </row>
    <row r="1026" spans="1:33" x14ac:dyDescent="0.25">
      <c r="A1026" s="120">
        <v>1025</v>
      </c>
      <c r="B1026" s="120" t="b">
        <v>0</v>
      </c>
      <c r="C1026" s="120">
        <v>0</v>
      </c>
      <c r="D1026" s="61">
        <v>4</v>
      </c>
      <c r="E1026" s="120">
        <v>1</v>
      </c>
      <c r="F1026" s="120" t="s">
        <v>172</v>
      </c>
      <c r="G1026" s="55">
        <v>40</v>
      </c>
      <c r="H1026" s="120">
        <v>179</v>
      </c>
      <c r="I1026" s="57">
        <v>100</v>
      </c>
      <c r="J1026" s="120">
        <v>110</v>
      </c>
      <c r="K1026" s="120">
        <v>4</v>
      </c>
      <c r="L1026" s="120">
        <v>100</v>
      </c>
      <c r="M1026" s="120">
        <v>-9999</v>
      </c>
      <c r="N1026" s="120">
        <v>-9999</v>
      </c>
      <c r="O1026" s="120">
        <v>2</v>
      </c>
      <c r="P1026" s="120">
        <v>-9999</v>
      </c>
      <c r="Q1026" s="120">
        <v>42</v>
      </c>
      <c r="R1026" s="120">
        <v>34.700000762939503</v>
      </c>
      <c r="S1026" s="148">
        <v>19.399999618530298</v>
      </c>
      <c r="T1026" s="120">
        <v>-9999</v>
      </c>
      <c r="U1026" s="120">
        <v>15</v>
      </c>
      <c r="V1026" s="120">
        <v>-9999</v>
      </c>
      <c r="W1026" s="120">
        <v>-9999</v>
      </c>
      <c r="X1026" s="120">
        <v>-9999</v>
      </c>
      <c r="Y1026" s="120">
        <v>-9999</v>
      </c>
      <c r="Z1026" s="120">
        <v>-9999</v>
      </c>
      <c r="AA1026" s="120">
        <v>68</v>
      </c>
      <c r="AB1026" s="120">
        <v>14.5</v>
      </c>
      <c r="AC1026" s="120">
        <v>1025</v>
      </c>
      <c r="AD1026" s="120">
        <v>2297</v>
      </c>
      <c r="AE1026" s="120">
        <v>-9999</v>
      </c>
      <c r="AF1026" s="120">
        <v>-9999</v>
      </c>
      <c r="AG1026" s="120">
        <v>-9999</v>
      </c>
    </row>
    <row r="1027" spans="1:33" x14ac:dyDescent="0.25">
      <c r="A1027" s="120">
        <v>1026</v>
      </c>
      <c r="B1027" s="120" t="b">
        <v>0</v>
      </c>
      <c r="C1027" s="120">
        <v>0</v>
      </c>
      <c r="D1027" s="61">
        <v>4</v>
      </c>
      <c r="E1027" s="120">
        <v>1</v>
      </c>
      <c r="F1027" s="120" t="s">
        <v>172</v>
      </c>
      <c r="G1027" s="55">
        <v>40</v>
      </c>
      <c r="H1027" s="120">
        <v>169</v>
      </c>
      <c r="I1027" s="57">
        <v>110</v>
      </c>
      <c r="J1027" s="120">
        <v>120</v>
      </c>
      <c r="K1027" s="120">
        <v>4</v>
      </c>
      <c r="L1027" s="120">
        <v>100</v>
      </c>
      <c r="M1027" s="120">
        <v>-9999</v>
      </c>
      <c r="N1027" s="120">
        <v>-9999</v>
      </c>
      <c r="O1027" s="120">
        <v>2</v>
      </c>
      <c r="P1027" s="120">
        <v>-9999</v>
      </c>
      <c r="Q1027" s="120">
        <v>42</v>
      </c>
      <c r="R1027" s="120">
        <v>34.700000762939503</v>
      </c>
      <c r="S1027" s="148">
        <v>20.600000381469702</v>
      </c>
      <c r="T1027" s="120">
        <v>-9999</v>
      </c>
      <c r="U1027" s="120">
        <v>15</v>
      </c>
      <c r="V1027" s="120">
        <v>-9999</v>
      </c>
      <c r="W1027" s="120">
        <v>-9999</v>
      </c>
      <c r="X1027" s="120">
        <v>-9999</v>
      </c>
      <c r="Y1027" s="120">
        <v>-9999</v>
      </c>
      <c r="Z1027" s="120">
        <v>-9999</v>
      </c>
      <c r="AA1027" s="120">
        <v>68</v>
      </c>
      <c r="AB1027" s="120">
        <v>14.5</v>
      </c>
      <c r="AC1027" s="120">
        <v>1026</v>
      </c>
      <c r="AD1027" s="120">
        <v>2298</v>
      </c>
      <c r="AE1027" s="120">
        <v>-9999</v>
      </c>
      <c r="AF1027" s="120">
        <v>-9999</v>
      </c>
      <c r="AG1027" s="120">
        <v>-9999</v>
      </c>
    </row>
    <row r="1028" spans="1:33" x14ac:dyDescent="0.25">
      <c r="A1028" s="120">
        <v>1027</v>
      </c>
      <c r="B1028" s="120" t="b">
        <v>0</v>
      </c>
      <c r="C1028" s="120">
        <v>0</v>
      </c>
      <c r="D1028" s="61">
        <v>4</v>
      </c>
      <c r="E1028" s="120">
        <v>1</v>
      </c>
      <c r="F1028" s="120" t="s">
        <v>172</v>
      </c>
      <c r="G1028" s="55">
        <v>40</v>
      </c>
      <c r="H1028" s="120">
        <v>159</v>
      </c>
      <c r="I1028" s="57">
        <v>120</v>
      </c>
      <c r="J1028" s="120">
        <v>130</v>
      </c>
      <c r="K1028" s="120">
        <v>4</v>
      </c>
      <c r="L1028" s="120">
        <v>100</v>
      </c>
      <c r="M1028" s="120">
        <v>-9999</v>
      </c>
      <c r="N1028" s="120">
        <v>-9999</v>
      </c>
      <c r="O1028" s="120">
        <v>2</v>
      </c>
      <c r="P1028" s="120">
        <v>-9999</v>
      </c>
      <c r="Q1028" s="120">
        <v>42</v>
      </c>
      <c r="R1028" s="120">
        <v>34.700000762939503</v>
      </c>
      <c r="S1028" s="148">
        <v>21.799999237060501</v>
      </c>
      <c r="T1028" s="120">
        <v>-9999</v>
      </c>
      <c r="U1028" s="120">
        <v>15</v>
      </c>
      <c r="V1028" s="120">
        <v>-9999</v>
      </c>
      <c r="W1028" s="120">
        <v>-9999</v>
      </c>
      <c r="X1028" s="120">
        <v>-9999</v>
      </c>
      <c r="Y1028" s="120">
        <v>-9999</v>
      </c>
      <c r="Z1028" s="120">
        <v>-9999</v>
      </c>
      <c r="AA1028" s="120">
        <v>68</v>
      </c>
      <c r="AB1028" s="120">
        <v>14.5</v>
      </c>
      <c r="AC1028" s="120">
        <v>1027</v>
      </c>
      <c r="AD1028" s="120">
        <v>2299</v>
      </c>
      <c r="AE1028" s="120">
        <v>-9999</v>
      </c>
      <c r="AF1028" s="120">
        <v>-9999</v>
      </c>
      <c r="AG1028" s="120">
        <v>-9999</v>
      </c>
    </row>
    <row r="1029" spans="1:33" x14ac:dyDescent="0.25">
      <c r="A1029" s="120">
        <v>1028</v>
      </c>
      <c r="B1029" s="120" t="b">
        <v>0</v>
      </c>
      <c r="C1029" s="120">
        <v>0</v>
      </c>
      <c r="D1029" s="61">
        <v>4</v>
      </c>
      <c r="E1029" s="120">
        <v>1</v>
      </c>
      <c r="F1029" s="120" t="s">
        <v>172</v>
      </c>
      <c r="G1029" s="55">
        <v>40</v>
      </c>
      <c r="H1029" s="120">
        <v>156</v>
      </c>
      <c r="I1029" s="57">
        <v>125</v>
      </c>
      <c r="J1029" s="120">
        <v>135</v>
      </c>
      <c r="K1029" s="120">
        <v>4</v>
      </c>
      <c r="L1029" s="120">
        <v>100</v>
      </c>
      <c r="M1029" s="120">
        <v>-9999</v>
      </c>
      <c r="N1029" s="120">
        <v>-9999</v>
      </c>
      <c r="O1029" s="120">
        <v>2</v>
      </c>
      <c r="P1029" s="120">
        <v>-9999</v>
      </c>
      <c r="Q1029" s="120">
        <v>42</v>
      </c>
      <c r="R1029" s="120">
        <v>34.700000762939503</v>
      </c>
      <c r="S1029" s="148">
        <v>22.299999237060501</v>
      </c>
      <c r="T1029" s="120">
        <v>-9999</v>
      </c>
      <c r="U1029" s="120">
        <v>15</v>
      </c>
      <c r="V1029" s="120">
        <v>-9999</v>
      </c>
      <c r="W1029" s="120">
        <v>-9999</v>
      </c>
      <c r="X1029" s="120">
        <v>-9999</v>
      </c>
      <c r="Y1029" s="120">
        <v>-9999</v>
      </c>
      <c r="Z1029" s="120">
        <v>-9999</v>
      </c>
      <c r="AA1029" s="120">
        <v>68</v>
      </c>
      <c r="AB1029" s="120">
        <v>14.5</v>
      </c>
      <c r="AC1029" s="120">
        <v>1028</v>
      </c>
      <c r="AD1029" s="120">
        <v>2300</v>
      </c>
      <c r="AE1029" s="120">
        <v>-9999</v>
      </c>
      <c r="AF1029" s="120">
        <v>-9999</v>
      </c>
      <c r="AG1029" s="120">
        <v>-9999</v>
      </c>
    </row>
    <row r="1030" spans="1:33" x14ac:dyDescent="0.25">
      <c r="A1030" s="120">
        <v>1029</v>
      </c>
      <c r="B1030" s="120" t="b">
        <v>0</v>
      </c>
      <c r="C1030" s="120">
        <v>0</v>
      </c>
      <c r="D1030" s="61">
        <v>4</v>
      </c>
      <c r="E1030" s="120">
        <v>1</v>
      </c>
      <c r="F1030" s="120" t="s">
        <v>173</v>
      </c>
      <c r="G1030" s="55">
        <v>50</v>
      </c>
      <c r="H1030" s="120">
        <v>386</v>
      </c>
      <c r="I1030" s="57">
        <v>30</v>
      </c>
      <c r="J1030" s="120">
        <v>40</v>
      </c>
      <c r="K1030" s="120">
        <v>4</v>
      </c>
      <c r="L1030" s="120">
        <v>100</v>
      </c>
      <c r="M1030" s="120">
        <v>-9999</v>
      </c>
      <c r="N1030" s="120">
        <v>-9999</v>
      </c>
      <c r="O1030" s="120">
        <v>2</v>
      </c>
      <c r="P1030" s="120">
        <v>-9999</v>
      </c>
      <c r="Q1030" s="120">
        <v>45.200000762939503</v>
      </c>
      <c r="R1030" s="120">
        <v>36.700000762939503</v>
      </c>
      <c r="S1030" s="148">
        <v>9.5</v>
      </c>
      <c r="T1030" s="120">
        <v>-9999</v>
      </c>
      <c r="U1030" s="120">
        <v>15</v>
      </c>
      <c r="V1030" s="120">
        <v>-9999</v>
      </c>
      <c r="W1030" s="120">
        <v>-9999</v>
      </c>
      <c r="X1030" s="120">
        <v>-9999</v>
      </c>
      <c r="Y1030" s="120">
        <v>-9999</v>
      </c>
      <c r="Z1030" s="120">
        <v>-9999</v>
      </c>
      <c r="AA1030" s="120">
        <v>68</v>
      </c>
      <c r="AB1030" s="120">
        <v>14.5</v>
      </c>
      <c r="AC1030" s="120">
        <v>1029</v>
      </c>
      <c r="AD1030" s="120">
        <v>2301</v>
      </c>
      <c r="AE1030" s="120">
        <v>-9999</v>
      </c>
      <c r="AF1030" s="120">
        <v>-9999</v>
      </c>
      <c r="AG1030" s="120">
        <v>-9999</v>
      </c>
    </row>
    <row r="1031" spans="1:33" x14ac:dyDescent="0.25">
      <c r="A1031" s="120">
        <v>1030</v>
      </c>
      <c r="B1031" s="120" t="b">
        <v>0</v>
      </c>
      <c r="C1031" s="120">
        <v>0</v>
      </c>
      <c r="D1031" s="61">
        <v>4</v>
      </c>
      <c r="E1031" s="120">
        <v>1</v>
      </c>
      <c r="F1031" s="120" t="s">
        <v>173</v>
      </c>
      <c r="G1031" s="55">
        <v>50</v>
      </c>
      <c r="H1031" s="120">
        <v>344</v>
      </c>
      <c r="I1031" s="57">
        <v>40</v>
      </c>
      <c r="J1031" s="120">
        <v>50</v>
      </c>
      <c r="K1031" s="120">
        <v>4</v>
      </c>
      <c r="L1031" s="120">
        <v>100</v>
      </c>
      <c r="M1031" s="120">
        <v>-9999</v>
      </c>
      <c r="N1031" s="120">
        <v>-9999</v>
      </c>
      <c r="O1031" s="120">
        <v>2</v>
      </c>
      <c r="P1031" s="120">
        <v>-9999</v>
      </c>
      <c r="Q1031" s="120">
        <v>47.5</v>
      </c>
      <c r="R1031" s="120">
        <v>38.700000762939503</v>
      </c>
      <c r="S1031" s="148">
        <v>11.199999809265099</v>
      </c>
      <c r="T1031" s="120">
        <v>-9999</v>
      </c>
      <c r="U1031" s="120">
        <v>15</v>
      </c>
      <c r="V1031" s="120">
        <v>-9999</v>
      </c>
      <c r="W1031" s="120">
        <v>-9999</v>
      </c>
      <c r="X1031" s="120">
        <v>-9999</v>
      </c>
      <c r="Y1031" s="120">
        <v>-9999</v>
      </c>
      <c r="Z1031" s="120">
        <v>-9999</v>
      </c>
      <c r="AA1031" s="120">
        <v>68</v>
      </c>
      <c r="AB1031" s="120">
        <v>14.5</v>
      </c>
      <c r="AC1031" s="120">
        <v>1030</v>
      </c>
      <c r="AD1031" s="120">
        <v>2302</v>
      </c>
      <c r="AE1031" s="120">
        <v>-9999</v>
      </c>
      <c r="AF1031" s="120">
        <v>-9999</v>
      </c>
      <c r="AG1031" s="120">
        <v>-9999</v>
      </c>
    </row>
    <row r="1032" spans="1:33" x14ac:dyDescent="0.25">
      <c r="A1032" s="120">
        <v>1031</v>
      </c>
      <c r="B1032" s="120" t="b">
        <v>0</v>
      </c>
      <c r="C1032" s="120">
        <v>0</v>
      </c>
      <c r="D1032" s="61">
        <v>4</v>
      </c>
      <c r="E1032" s="120">
        <v>1</v>
      </c>
      <c r="F1032" s="120" t="s">
        <v>173</v>
      </c>
      <c r="G1032" s="55">
        <v>50</v>
      </c>
      <c r="H1032" s="120">
        <v>316</v>
      </c>
      <c r="I1032" s="57">
        <v>50</v>
      </c>
      <c r="J1032" s="120">
        <v>60</v>
      </c>
      <c r="K1032" s="120">
        <v>4</v>
      </c>
      <c r="L1032" s="120">
        <v>100</v>
      </c>
      <c r="M1032" s="120">
        <v>-9999</v>
      </c>
      <c r="N1032" s="120">
        <v>-9999</v>
      </c>
      <c r="O1032" s="120">
        <v>2</v>
      </c>
      <c r="P1032" s="120">
        <v>-9999</v>
      </c>
      <c r="Q1032" s="120">
        <v>49</v>
      </c>
      <c r="R1032" s="120">
        <v>39.900001525878899</v>
      </c>
      <c r="S1032" s="148">
        <v>12.6000003814697</v>
      </c>
      <c r="T1032" s="120">
        <v>-9999</v>
      </c>
      <c r="U1032" s="120">
        <v>15</v>
      </c>
      <c r="V1032" s="120">
        <v>-9999</v>
      </c>
      <c r="W1032" s="120">
        <v>-9999</v>
      </c>
      <c r="X1032" s="120">
        <v>-9999</v>
      </c>
      <c r="Y1032" s="120">
        <v>-9999</v>
      </c>
      <c r="Z1032" s="120">
        <v>-9999</v>
      </c>
      <c r="AA1032" s="120">
        <v>68</v>
      </c>
      <c r="AB1032" s="120">
        <v>14.5</v>
      </c>
      <c r="AC1032" s="120">
        <v>1031</v>
      </c>
      <c r="AD1032" s="120">
        <v>2303</v>
      </c>
      <c r="AE1032" s="120">
        <v>-9999</v>
      </c>
      <c r="AF1032" s="120">
        <v>-9999</v>
      </c>
      <c r="AG1032" s="120">
        <v>-9999</v>
      </c>
    </row>
    <row r="1033" spans="1:33" x14ac:dyDescent="0.25">
      <c r="A1033" s="120">
        <v>1032</v>
      </c>
      <c r="B1033" s="120" t="b">
        <v>0</v>
      </c>
      <c r="C1033" s="120">
        <v>0</v>
      </c>
      <c r="D1033" s="61">
        <v>4</v>
      </c>
      <c r="E1033" s="120">
        <v>1</v>
      </c>
      <c r="F1033" s="120" t="s">
        <v>173</v>
      </c>
      <c r="G1033" s="55">
        <v>50</v>
      </c>
      <c r="H1033" s="120">
        <v>291</v>
      </c>
      <c r="I1033" s="57">
        <v>60</v>
      </c>
      <c r="J1033" s="120">
        <v>70</v>
      </c>
      <c r="K1033" s="120">
        <v>4</v>
      </c>
      <c r="L1033" s="120">
        <v>100</v>
      </c>
      <c r="M1033" s="120">
        <v>-9999</v>
      </c>
      <c r="N1033" s="120">
        <v>-9999</v>
      </c>
      <c r="O1033" s="120">
        <v>2</v>
      </c>
      <c r="P1033" s="120">
        <v>-9999</v>
      </c>
      <c r="Q1033" s="120">
        <v>50.099998474121101</v>
      </c>
      <c r="R1033" s="120">
        <v>40.700000762939503</v>
      </c>
      <c r="S1033" s="148">
        <v>14</v>
      </c>
      <c r="T1033" s="120">
        <v>-9999</v>
      </c>
      <c r="U1033" s="120">
        <v>15</v>
      </c>
      <c r="V1033" s="120">
        <v>-9999</v>
      </c>
      <c r="W1033" s="120">
        <v>-9999</v>
      </c>
      <c r="X1033" s="120">
        <v>-9999</v>
      </c>
      <c r="Y1033" s="120">
        <v>-9999</v>
      </c>
      <c r="Z1033" s="120">
        <v>-9999</v>
      </c>
      <c r="AA1033" s="120">
        <v>68</v>
      </c>
      <c r="AB1033" s="120">
        <v>14.5</v>
      </c>
      <c r="AC1033" s="120">
        <v>1032</v>
      </c>
      <c r="AD1033" s="120">
        <v>2304</v>
      </c>
      <c r="AE1033" s="120">
        <v>-9999</v>
      </c>
      <c r="AF1033" s="120">
        <v>-9999</v>
      </c>
      <c r="AG1033" s="120">
        <v>-9999</v>
      </c>
    </row>
    <row r="1034" spans="1:33" x14ac:dyDescent="0.25">
      <c r="A1034" s="120">
        <v>1033</v>
      </c>
      <c r="B1034" s="120" t="b">
        <v>0</v>
      </c>
      <c r="C1034" s="120">
        <v>0</v>
      </c>
      <c r="D1034" s="61">
        <v>4</v>
      </c>
      <c r="E1034" s="120">
        <v>1</v>
      </c>
      <c r="F1034" s="120" t="s">
        <v>173</v>
      </c>
      <c r="G1034" s="55">
        <v>50</v>
      </c>
      <c r="H1034" s="120">
        <v>270</v>
      </c>
      <c r="I1034" s="57">
        <v>70</v>
      </c>
      <c r="J1034" s="120">
        <v>80</v>
      </c>
      <c r="K1034" s="120">
        <v>4</v>
      </c>
      <c r="L1034" s="120">
        <v>100</v>
      </c>
      <c r="M1034" s="120">
        <v>-9999</v>
      </c>
      <c r="N1034" s="120">
        <v>-9999</v>
      </c>
      <c r="O1034" s="120">
        <v>2</v>
      </c>
      <c r="P1034" s="120">
        <v>-9999</v>
      </c>
      <c r="Q1034" s="120">
        <v>50.799999237060497</v>
      </c>
      <c r="R1034" s="120">
        <v>41.299999237060497</v>
      </c>
      <c r="S1034" s="148">
        <v>15.300000190734901</v>
      </c>
      <c r="T1034" s="120">
        <v>-9999</v>
      </c>
      <c r="U1034" s="120">
        <v>15</v>
      </c>
      <c r="V1034" s="120">
        <v>-9999</v>
      </c>
      <c r="W1034" s="120">
        <v>-9999</v>
      </c>
      <c r="X1034" s="120">
        <v>-9999</v>
      </c>
      <c r="Y1034" s="120">
        <v>-9999</v>
      </c>
      <c r="Z1034" s="120">
        <v>-9999</v>
      </c>
      <c r="AA1034" s="120">
        <v>68</v>
      </c>
      <c r="AB1034" s="120">
        <v>14.5</v>
      </c>
      <c r="AC1034" s="120">
        <v>1033</v>
      </c>
      <c r="AD1034" s="120">
        <v>2305</v>
      </c>
      <c r="AE1034" s="120">
        <v>-9999</v>
      </c>
      <c r="AF1034" s="120">
        <v>-9999</v>
      </c>
      <c r="AG1034" s="120">
        <v>-9999</v>
      </c>
    </row>
    <row r="1035" spans="1:33" x14ac:dyDescent="0.25">
      <c r="A1035" s="120">
        <v>1034</v>
      </c>
      <c r="B1035" s="120" t="b">
        <v>0</v>
      </c>
      <c r="C1035" s="120">
        <v>0</v>
      </c>
      <c r="D1035" s="61">
        <v>4</v>
      </c>
      <c r="E1035" s="120">
        <v>1</v>
      </c>
      <c r="F1035" s="120" t="s">
        <v>173</v>
      </c>
      <c r="G1035" s="55">
        <v>50</v>
      </c>
      <c r="H1035" s="120">
        <v>252</v>
      </c>
      <c r="I1035" s="57">
        <v>80</v>
      </c>
      <c r="J1035" s="120">
        <v>90</v>
      </c>
      <c r="K1035" s="120">
        <v>4</v>
      </c>
      <c r="L1035" s="120">
        <v>100</v>
      </c>
      <c r="M1035" s="120">
        <v>-9999</v>
      </c>
      <c r="N1035" s="120">
        <v>-9999</v>
      </c>
      <c r="O1035" s="120">
        <v>2</v>
      </c>
      <c r="P1035" s="120">
        <v>-9999</v>
      </c>
      <c r="Q1035" s="120">
        <v>51.400001525878899</v>
      </c>
      <c r="R1035" s="120">
        <v>41.799999237060497</v>
      </c>
      <c r="S1035" s="148">
        <v>16.600000381469702</v>
      </c>
      <c r="T1035" s="120">
        <v>-9999</v>
      </c>
      <c r="U1035" s="120">
        <v>15</v>
      </c>
      <c r="V1035" s="120">
        <v>-9999</v>
      </c>
      <c r="W1035" s="120">
        <v>-9999</v>
      </c>
      <c r="X1035" s="120">
        <v>-9999</v>
      </c>
      <c r="Y1035" s="120">
        <v>-9999</v>
      </c>
      <c r="Z1035" s="120">
        <v>-9999</v>
      </c>
      <c r="AA1035" s="120">
        <v>68</v>
      </c>
      <c r="AB1035" s="120">
        <v>14.5</v>
      </c>
      <c r="AC1035" s="120">
        <v>1034</v>
      </c>
      <c r="AD1035" s="120">
        <v>2306</v>
      </c>
      <c r="AE1035" s="120">
        <v>-9999</v>
      </c>
      <c r="AF1035" s="120">
        <v>-9999</v>
      </c>
      <c r="AG1035" s="120">
        <v>-9999</v>
      </c>
    </row>
    <row r="1036" spans="1:33" x14ac:dyDescent="0.25">
      <c r="A1036" s="120">
        <v>1035</v>
      </c>
      <c r="B1036" s="120" t="b">
        <v>0</v>
      </c>
      <c r="C1036" s="120">
        <v>0</v>
      </c>
      <c r="D1036" s="61">
        <v>4</v>
      </c>
      <c r="E1036" s="120">
        <v>1</v>
      </c>
      <c r="F1036" s="120" t="s">
        <v>173</v>
      </c>
      <c r="G1036" s="55">
        <v>50</v>
      </c>
      <c r="H1036" s="120">
        <v>237</v>
      </c>
      <c r="I1036" s="57">
        <v>90</v>
      </c>
      <c r="J1036" s="120">
        <v>100</v>
      </c>
      <c r="K1036" s="120">
        <v>4</v>
      </c>
      <c r="L1036" s="120">
        <v>100</v>
      </c>
      <c r="M1036" s="120">
        <v>-9999</v>
      </c>
      <c r="N1036" s="120">
        <v>-9999</v>
      </c>
      <c r="O1036" s="120">
        <v>2</v>
      </c>
      <c r="P1036" s="120">
        <v>-9999</v>
      </c>
      <c r="Q1036" s="120">
        <v>51.799999237060497</v>
      </c>
      <c r="R1036" s="120">
        <v>42.200000762939503</v>
      </c>
      <c r="S1036" s="148">
        <v>17.799999237060501</v>
      </c>
      <c r="T1036" s="120">
        <v>-9999</v>
      </c>
      <c r="U1036" s="120">
        <v>15</v>
      </c>
      <c r="V1036" s="120">
        <v>-9999</v>
      </c>
      <c r="W1036" s="120">
        <v>-9999</v>
      </c>
      <c r="X1036" s="120">
        <v>-9999</v>
      </c>
      <c r="Y1036" s="120">
        <v>-9999</v>
      </c>
      <c r="Z1036" s="120">
        <v>-9999</v>
      </c>
      <c r="AA1036" s="120">
        <v>68</v>
      </c>
      <c r="AB1036" s="120">
        <v>14.5</v>
      </c>
      <c r="AC1036" s="120">
        <v>1035</v>
      </c>
      <c r="AD1036" s="120">
        <v>2307</v>
      </c>
      <c r="AE1036" s="120">
        <v>-9999</v>
      </c>
      <c r="AF1036" s="120">
        <v>-9999</v>
      </c>
      <c r="AG1036" s="120">
        <v>-9999</v>
      </c>
    </row>
    <row r="1037" spans="1:33" x14ac:dyDescent="0.25">
      <c r="A1037" s="120">
        <v>1036</v>
      </c>
      <c r="B1037" s="120" t="b">
        <v>0</v>
      </c>
      <c r="C1037" s="120">
        <v>0</v>
      </c>
      <c r="D1037" s="61">
        <v>4</v>
      </c>
      <c r="E1037" s="120">
        <v>1</v>
      </c>
      <c r="F1037" s="120" t="s">
        <v>173</v>
      </c>
      <c r="G1037" s="55">
        <v>50</v>
      </c>
      <c r="H1037" s="120">
        <v>224</v>
      </c>
      <c r="I1037" s="57">
        <v>100</v>
      </c>
      <c r="J1037" s="120">
        <v>110</v>
      </c>
      <c r="K1037" s="120">
        <v>4</v>
      </c>
      <c r="L1037" s="120">
        <v>100</v>
      </c>
      <c r="M1037" s="120">
        <v>-9999</v>
      </c>
      <c r="N1037" s="120">
        <v>-9999</v>
      </c>
      <c r="O1037" s="120">
        <v>2</v>
      </c>
      <c r="P1037" s="120">
        <v>-9999</v>
      </c>
      <c r="Q1037" s="120">
        <v>52.5</v>
      </c>
      <c r="R1037" s="120">
        <v>42.700000762939503</v>
      </c>
      <c r="S1037" s="148">
        <v>19</v>
      </c>
      <c r="T1037" s="120">
        <v>-9999</v>
      </c>
      <c r="U1037" s="120">
        <v>15</v>
      </c>
      <c r="V1037" s="120">
        <v>-9999</v>
      </c>
      <c r="W1037" s="120">
        <v>-9999</v>
      </c>
      <c r="X1037" s="120">
        <v>-9999</v>
      </c>
      <c r="Y1037" s="120">
        <v>-9999</v>
      </c>
      <c r="Z1037" s="120">
        <v>-9999</v>
      </c>
      <c r="AA1037" s="120">
        <v>68</v>
      </c>
      <c r="AB1037" s="120">
        <v>14.5</v>
      </c>
      <c r="AC1037" s="120">
        <v>1036</v>
      </c>
      <c r="AD1037" s="120">
        <v>2308</v>
      </c>
      <c r="AE1037" s="120">
        <v>-9999</v>
      </c>
      <c r="AF1037" s="120">
        <v>-9999</v>
      </c>
      <c r="AG1037" s="120">
        <v>-9999</v>
      </c>
    </row>
    <row r="1038" spans="1:33" x14ac:dyDescent="0.25">
      <c r="A1038" s="120">
        <v>1037</v>
      </c>
      <c r="B1038" s="120" t="b">
        <v>0</v>
      </c>
      <c r="C1038" s="120">
        <v>0</v>
      </c>
      <c r="D1038" s="61">
        <v>4</v>
      </c>
      <c r="E1038" s="120">
        <v>1</v>
      </c>
      <c r="F1038" s="120" t="s">
        <v>173</v>
      </c>
      <c r="G1038" s="55">
        <v>50</v>
      </c>
      <c r="H1038" s="120">
        <v>211</v>
      </c>
      <c r="I1038" s="57">
        <v>110</v>
      </c>
      <c r="J1038" s="120">
        <v>120</v>
      </c>
      <c r="K1038" s="120">
        <v>4</v>
      </c>
      <c r="L1038" s="120">
        <v>100</v>
      </c>
      <c r="M1038" s="120">
        <v>-9999</v>
      </c>
      <c r="N1038" s="120">
        <v>-9999</v>
      </c>
      <c r="O1038" s="120">
        <v>2</v>
      </c>
      <c r="P1038" s="120">
        <v>-9999</v>
      </c>
      <c r="Q1038" s="120">
        <v>52.5</v>
      </c>
      <c r="R1038" s="120">
        <v>42.700000762939503</v>
      </c>
      <c r="S1038" s="148">
        <v>20.299999237060501</v>
      </c>
      <c r="T1038" s="120">
        <v>-9999</v>
      </c>
      <c r="U1038" s="120">
        <v>15</v>
      </c>
      <c r="V1038" s="120">
        <v>-9999</v>
      </c>
      <c r="W1038" s="120">
        <v>-9999</v>
      </c>
      <c r="X1038" s="120">
        <v>-9999</v>
      </c>
      <c r="Y1038" s="120">
        <v>-9999</v>
      </c>
      <c r="Z1038" s="120">
        <v>-9999</v>
      </c>
      <c r="AA1038" s="120">
        <v>68</v>
      </c>
      <c r="AB1038" s="120">
        <v>14.5</v>
      </c>
      <c r="AC1038" s="120">
        <v>1037</v>
      </c>
      <c r="AD1038" s="120">
        <v>2309</v>
      </c>
      <c r="AE1038" s="120">
        <v>-9999</v>
      </c>
      <c r="AF1038" s="120">
        <v>-9999</v>
      </c>
      <c r="AG1038" s="120">
        <v>-9999</v>
      </c>
    </row>
    <row r="1039" spans="1:33" x14ac:dyDescent="0.25">
      <c r="A1039" s="120">
        <v>1038</v>
      </c>
      <c r="B1039" s="120" t="b">
        <v>0</v>
      </c>
      <c r="C1039" s="120">
        <v>0</v>
      </c>
      <c r="D1039" s="61">
        <v>4</v>
      </c>
      <c r="E1039" s="120">
        <v>1</v>
      </c>
      <c r="F1039" s="120" t="s">
        <v>173</v>
      </c>
      <c r="G1039" s="55">
        <v>50</v>
      </c>
      <c r="H1039" s="120">
        <v>199</v>
      </c>
      <c r="I1039" s="57">
        <v>120</v>
      </c>
      <c r="J1039" s="120">
        <v>130</v>
      </c>
      <c r="K1039" s="120">
        <v>4</v>
      </c>
      <c r="L1039" s="120">
        <v>100</v>
      </c>
      <c r="M1039" s="120">
        <v>-9999</v>
      </c>
      <c r="N1039" s="120">
        <v>-9999</v>
      </c>
      <c r="O1039" s="120">
        <v>2</v>
      </c>
      <c r="P1039" s="120">
        <v>-9999</v>
      </c>
      <c r="Q1039" s="120">
        <v>52.5</v>
      </c>
      <c r="R1039" s="120">
        <v>42.700000762939503</v>
      </c>
      <c r="S1039" s="148">
        <v>21.5</v>
      </c>
      <c r="T1039" s="120">
        <v>-9999</v>
      </c>
      <c r="U1039" s="120">
        <v>15</v>
      </c>
      <c r="V1039" s="120">
        <v>-9999</v>
      </c>
      <c r="W1039" s="120">
        <v>-9999</v>
      </c>
      <c r="X1039" s="120">
        <v>-9999</v>
      </c>
      <c r="Y1039" s="120">
        <v>-9999</v>
      </c>
      <c r="Z1039" s="120">
        <v>-9999</v>
      </c>
      <c r="AA1039" s="120">
        <v>68</v>
      </c>
      <c r="AB1039" s="120">
        <v>14.5</v>
      </c>
      <c r="AC1039" s="120">
        <v>1038</v>
      </c>
      <c r="AD1039" s="120">
        <v>2310</v>
      </c>
      <c r="AE1039" s="120">
        <v>-9999</v>
      </c>
      <c r="AF1039" s="120">
        <v>-9999</v>
      </c>
      <c r="AG1039" s="120">
        <v>-9999</v>
      </c>
    </row>
    <row r="1040" spans="1:33" x14ac:dyDescent="0.25">
      <c r="A1040" s="120">
        <v>1039</v>
      </c>
      <c r="B1040" s="120" t="b">
        <v>0</v>
      </c>
      <c r="C1040" s="120">
        <v>0</v>
      </c>
      <c r="D1040" s="61">
        <v>4</v>
      </c>
      <c r="E1040" s="120">
        <v>1</v>
      </c>
      <c r="F1040" s="120" t="s">
        <v>173</v>
      </c>
      <c r="G1040" s="55">
        <v>50</v>
      </c>
      <c r="H1040" s="120">
        <v>194</v>
      </c>
      <c r="I1040" s="57">
        <v>125</v>
      </c>
      <c r="J1040" s="120">
        <v>135</v>
      </c>
      <c r="K1040" s="120">
        <v>4</v>
      </c>
      <c r="L1040" s="120">
        <v>100</v>
      </c>
      <c r="M1040" s="120">
        <v>-9999</v>
      </c>
      <c r="N1040" s="120">
        <v>-9999</v>
      </c>
      <c r="O1040" s="120">
        <v>2</v>
      </c>
      <c r="P1040" s="120">
        <v>-9999</v>
      </c>
      <c r="Q1040" s="120">
        <v>52.5</v>
      </c>
      <c r="R1040" s="120">
        <v>42.700000762939503</v>
      </c>
      <c r="S1040" s="148">
        <v>22</v>
      </c>
      <c r="T1040" s="120">
        <v>-9999</v>
      </c>
      <c r="U1040" s="120">
        <v>15</v>
      </c>
      <c r="V1040" s="120">
        <v>-9999</v>
      </c>
      <c r="W1040" s="120">
        <v>-9999</v>
      </c>
      <c r="X1040" s="120">
        <v>-9999</v>
      </c>
      <c r="Y1040" s="120">
        <v>-9999</v>
      </c>
      <c r="Z1040" s="120">
        <v>-9999</v>
      </c>
      <c r="AA1040" s="120">
        <v>68</v>
      </c>
      <c r="AB1040" s="120">
        <v>14.5</v>
      </c>
      <c r="AC1040" s="120">
        <v>1039</v>
      </c>
      <c r="AD1040" s="120">
        <v>2311</v>
      </c>
      <c r="AE1040" s="120">
        <v>-9999</v>
      </c>
      <c r="AF1040" s="120">
        <v>-9999</v>
      </c>
      <c r="AG1040" s="120">
        <v>-9999</v>
      </c>
    </row>
    <row r="1041" spans="1:33" x14ac:dyDescent="0.25">
      <c r="A1041" s="120">
        <v>1040</v>
      </c>
      <c r="B1041" s="120" t="b">
        <v>0</v>
      </c>
      <c r="C1041" s="120">
        <v>0</v>
      </c>
      <c r="D1041" s="61">
        <v>4</v>
      </c>
      <c r="E1041" s="120">
        <v>1</v>
      </c>
      <c r="F1041" s="120" t="s">
        <v>174</v>
      </c>
      <c r="G1041" s="55">
        <v>60</v>
      </c>
      <c r="H1041" s="120">
        <v>516</v>
      </c>
      <c r="I1041" s="57">
        <v>30</v>
      </c>
      <c r="J1041" s="120">
        <v>40</v>
      </c>
      <c r="K1041" s="120">
        <v>4</v>
      </c>
      <c r="L1041" s="120">
        <v>100</v>
      </c>
      <c r="M1041" s="120">
        <v>-9999</v>
      </c>
      <c r="N1041" s="120">
        <v>-9999</v>
      </c>
      <c r="O1041" s="120">
        <v>2</v>
      </c>
      <c r="P1041" s="120">
        <v>-9999</v>
      </c>
      <c r="Q1041" s="120">
        <v>54.200000762939503</v>
      </c>
      <c r="R1041" s="120">
        <v>44.099998474121101</v>
      </c>
      <c r="S1041" s="148">
        <v>8.5</v>
      </c>
      <c r="T1041" s="120">
        <v>-9999</v>
      </c>
      <c r="U1041" s="120">
        <v>15</v>
      </c>
      <c r="V1041" s="120">
        <v>-9999</v>
      </c>
      <c r="W1041" s="120">
        <v>-9999</v>
      </c>
      <c r="X1041" s="120">
        <v>-9999</v>
      </c>
      <c r="Y1041" s="120">
        <v>-9999</v>
      </c>
      <c r="Z1041" s="120">
        <v>-9999</v>
      </c>
      <c r="AA1041" s="120">
        <v>68</v>
      </c>
      <c r="AB1041" s="120">
        <v>14.5</v>
      </c>
      <c r="AC1041" s="120">
        <v>1040</v>
      </c>
      <c r="AD1041" s="120">
        <v>2312</v>
      </c>
      <c r="AE1041" s="120">
        <v>-9999</v>
      </c>
      <c r="AF1041" s="120">
        <v>-9999</v>
      </c>
      <c r="AG1041" s="120">
        <v>-9999</v>
      </c>
    </row>
    <row r="1042" spans="1:33" x14ac:dyDescent="0.25">
      <c r="A1042" s="120">
        <v>1041</v>
      </c>
      <c r="B1042" s="120" t="b">
        <v>0</v>
      </c>
      <c r="C1042" s="120">
        <v>0</v>
      </c>
      <c r="D1042" s="61">
        <v>4</v>
      </c>
      <c r="E1042" s="120">
        <v>1</v>
      </c>
      <c r="F1042" s="120" t="s">
        <v>174</v>
      </c>
      <c r="G1042" s="55">
        <v>60</v>
      </c>
      <c r="H1042" s="120">
        <v>453</v>
      </c>
      <c r="I1042" s="57">
        <v>40</v>
      </c>
      <c r="J1042" s="120">
        <v>50</v>
      </c>
      <c r="K1042" s="120">
        <v>4</v>
      </c>
      <c r="L1042" s="120">
        <v>100</v>
      </c>
      <c r="M1042" s="120">
        <v>-9999</v>
      </c>
      <c r="N1042" s="120">
        <v>-9999</v>
      </c>
      <c r="O1042" s="120">
        <v>2</v>
      </c>
      <c r="P1042" s="120">
        <v>-9999</v>
      </c>
      <c r="Q1042" s="120">
        <v>57</v>
      </c>
      <c r="R1042" s="120">
        <v>46.400001525878899</v>
      </c>
      <c r="S1042" s="148">
        <v>10.300000190734901</v>
      </c>
      <c r="T1042" s="120">
        <v>-9999</v>
      </c>
      <c r="U1042" s="120">
        <v>15</v>
      </c>
      <c r="V1042" s="120">
        <v>-9999</v>
      </c>
      <c r="W1042" s="120">
        <v>-9999</v>
      </c>
      <c r="X1042" s="120">
        <v>-9999</v>
      </c>
      <c r="Y1042" s="120">
        <v>-9999</v>
      </c>
      <c r="Z1042" s="120">
        <v>-9999</v>
      </c>
      <c r="AA1042" s="120">
        <v>68</v>
      </c>
      <c r="AB1042" s="120">
        <v>14.5</v>
      </c>
      <c r="AC1042" s="120">
        <v>1041</v>
      </c>
      <c r="AD1042" s="120">
        <v>2313</v>
      </c>
      <c r="AE1042" s="120">
        <v>-9999</v>
      </c>
      <c r="AF1042" s="120">
        <v>-9999</v>
      </c>
      <c r="AG1042" s="120">
        <v>-9999</v>
      </c>
    </row>
    <row r="1043" spans="1:33" x14ac:dyDescent="0.25">
      <c r="A1043" s="120">
        <v>1042</v>
      </c>
      <c r="B1043" s="120" t="b">
        <v>0</v>
      </c>
      <c r="C1043" s="120">
        <v>0</v>
      </c>
      <c r="D1043" s="61">
        <v>4</v>
      </c>
      <c r="E1043" s="120">
        <v>1</v>
      </c>
      <c r="F1043" s="120" t="s">
        <v>174</v>
      </c>
      <c r="G1043" s="55">
        <v>60</v>
      </c>
      <c r="H1043" s="120">
        <v>409</v>
      </c>
      <c r="I1043" s="57">
        <v>50</v>
      </c>
      <c r="J1043" s="120">
        <v>60</v>
      </c>
      <c r="K1043" s="120">
        <v>4</v>
      </c>
      <c r="L1043" s="120">
        <v>100</v>
      </c>
      <c r="M1043" s="120">
        <v>-9999</v>
      </c>
      <c r="N1043" s="120">
        <v>-9999</v>
      </c>
      <c r="O1043" s="120">
        <v>2</v>
      </c>
      <c r="P1043" s="120">
        <v>-9999</v>
      </c>
      <c r="Q1043" s="120">
        <v>58.900001525878899</v>
      </c>
      <c r="R1043" s="120">
        <v>47.900001525878899</v>
      </c>
      <c r="S1043" s="148">
        <v>11.699999809265099</v>
      </c>
      <c r="T1043" s="120">
        <v>-9999</v>
      </c>
      <c r="U1043" s="120">
        <v>15</v>
      </c>
      <c r="V1043" s="120">
        <v>-9999</v>
      </c>
      <c r="W1043" s="120">
        <v>-9999</v>
      </c>
      <c r="X1043" s="120">
        <v>-9999</v>
      </c>
      <c r="Y1043" s="120">
        <v>-9999</v>
      </c>
      <c r="Z1043" s="120">
        <v>-9999</v>
      </c>
      <c r="AA1043" s="120">
        <v>68</v>
      </c>
      <c r="AB1043" s="120">
        <v>14.5</v>
      </c>
      <c r="AC1043" s="120">
        <v>1042</v>
      </c>
      <c r="AD1043" s="120">
        <v>2314</v>
      </c>
      <c r="AE1043" s="120">
        <v>-9999</v>
      </c>
      <c r="AF1043" s="120">
        <v>-9999</v>
      </c>
      <c r="AG1043" s="120">
        <v>-9999</v>
      </c>
    </row>
    <row r="1044" spans="1:33" x14ac:dyDescent="0.25">
      <c r="A1044" s="120">
        <v>1043</v>
      </c>
      <c r="B1044" s="120" t="b">
        <v>0</v>
      </c>
      <c r="C1044" s="120">
        <v>0</v>
      </c>
      <c r="D1044" s="61">
        <v>4</v>
      </c>
      <c r="E1044" s="120">
        <v>1</v>
      </c>
      <c r="F1044" s="120" t="s">
        <v>174</v>
      </c>
      <c r="G1044" s="55">
        <v>60</v>
      </c>
      <c r="H1044" s="120">
        <v>366</v>
      </c>
      <c r="I1044" s="57">
        <v>60</v>
      </c>
      <c r="J1044" s="120">
        <v>70</v>
      </c>
      <c r="K1044" s="120">
        <v>4</v>
      </c>
      <c r="L1044" s="120">
        <v>100</v>
      </c>
      <c r="M1044" s="120">
        <v>-9999</v>
      </c>
      <c r="N1044" s="120">
        <v>-9999</v>
      </c>
      <c r="O1044" s="120">
        <v>2</v>
      </c>
      <c r="P1044" s="120">
        <v>-9999</v>
      </c>
      <c r="Q1044" s="120">
        <v>60.099998474121101</v>
      </c>
      <c r="R1044" s="120">
        <v>48.900001525878899</v>
      </c>
      <c r="S1044" s="148">
        <v>13.300000190734901</v>
      </c>
      <c r="T1044" s="120">
        <v>-9999</v>
      </c>
      <c r="U1044" s="120">
        <v>15</v>
      </c>
      <c r="V1044" s="120">
        <v>-9999</v>
      </c>
      <c r="W1044" s="120">
        <v>-9999</v>
      </c>
      <c r="X1044" s="120">
        <v>-9999</v>
      </c>
      <c r="Y1044" s="120">
        <v>-9999</v>
      </c>
      <c r="Z1044" s="120">
        <v>-9999</v>
      </c>
      <c r="AA1044" s="120">
        <v>68</v>
      </c>
      <c r="AB1044" s="120">
        <v>14.5</v>
      </c>
      <c r="AC1044" s="120">
        <v>1043</v>
      </c>
      <c r="AD1044" s="120">
        <v>2315</v>
      </c>
      <c r="AE1044" s="120">
        <v>-9999</v>
      </c>
      <c r="AF1044" s="120">
        <v>-9999</v>
      </c>
      <c r="AG1044" s="120">
        <v>-9999</v>
      </c>
    </row>
    <row r="1045" spans="1:33" x14ac:dyDescent="0.25">
      <c r="A1045" s="120">
        <v>1044</v>
      </c>
      <c r="B1045" s="120" t="b">
        <v>0</v>
      </c>
      <c r="C1045" s="120">
        <v>0</v>
      </c>
      <c r="D1045" s="61">
        <v>4</v>
      </c>
      <c r="E1045" s="120">
        <v>1</v>
      </c>
      <c r="F1045" s="120" t="s">
        <v>174</v>
      </c>
      <c r="G1045" s="55">
        <v>60</v>
      </c>
      <c r="H1045" s="120">
        <v>335</v>
      </c>
      <c r="I1045" s="57">
        <v>70</v>
      </c>
      <c r="J1045" s="120">
        <v>80</v>
      </c>
      <c r="K1045" s="120">
        <v>4</v>
      </c>
      <c r="L1045" s="120">
        <v>100</v>
      </c>
      <c r="M1045" s="120">
        <v>-9999</v>
      </c>
      <c r="N1045" s="120">
        <v>-9999</v>
      </c>
      <c r="O1045" s="120">
        <v>2</v>
      </c>
      <c r="P1045" s="120">
        <v>-9999</v>
      </c>
      <c r="Q1045" s="120">
        <v>61</v>
      </c>
      <c r="R1045" s="120">
        <v>49.599998474121101</v>
      </c>
      <c r="S1045" s="148">
        <v>14.800000190734901</v>
      </c>
      <c r="T1045" s="120">
        <v>-9999</v>
      </c>
      <c r="U1045" s="120">
        <v>15</v>
      </c>
      <c r="V1045" s="120">
        <v>-9999</v>
      </c>
      <c r="W1045" s="120">
        <v>-9999</v>
      </c>
      <c r="X1045" s="120">
        <v>-9999</v>
      </c>
      <c r="Y1045" s="120">
        <v>-9999</v>
      </c>
      <c r="Z1045" s="120">
        <v>-9999</v>
      </c>
      <c r="AA1045" s="120">
        <v>68</v>
      </c>
      <c r="AB1045" s="120">
        <v>14.5</v>
      </c>
      <c r="AC1045" s="120">
        <v>1044</v>
      </c>
      <c r="AD1045" s="120">
        <v>2316</v>
      </c>
      <c r="AE1045" s="120">
        <v>-9999</v>
      </c>
      <c r="AF1045" s="120">
        <v>-9999</v>
      </c>
      <c r="AG1045" s="120">
        <v>-9999</v>
      </c>
    </row>
    <row r="1046" spans="1:33" x14ac:dyDescent="0.25">
      <c r="A1046" s="120">
        <v>1045</v>
      </c>
      <c r="B1046" s="120" t="b">
        <v>0</v>
      </c>
      <c r="C1046" s="120">
        <v>0</v>
      </c>
      <c r="D1046" s="61">
        <v>4</v>
      </c>
      <c r="E1046" s="120">
        <v>1</v>
      </c>
      <c r="F1046" s="120" t="s">
        <v>174</v>
      </c>
      <c r="G1046" s="55">
        <v>60</v>
      </c>
      <c r="H1046" s="120">
        <v>310</v>
      </c>
      <c r="I1046" s="57">
        <v>80</v>
      </c>
      <c r="J1046" s="120">
        <v>90</v>
      </c>
      <c r="K1046" s="120">
        <v>4</v>
      </c>
      <c r="L1046" s="120">
        <v>100</v>
      </c>
      <c r="M1046" s="120">
        <v>-9999</v>
      </c>
      <c r="N1046" s="120">
        <v>-9999</v>
      </c>
      <c r="O1046" s="120">
        <v>2</v>
      </c>
      <c r="P1046" s="120">
        <v>-9999</v>
      </c>
      <c r="Q1046" s="120">
        <v>61.700000762939503</v>
      </c>
      <c r="R1046" s="120">
        <v>50.200000762939503</v>
      </c>
      <c r="S1046" s="148">
        <v>16.200000762939499</v>
      </c>
      <c r="T1046" s="120">
        <v>-9999</v>
      </c>
      <c r="U1046" s="120">
        <v>15</v>
      </c>
      <c r="V1046" s="120">
        <v>-9999</v>
      </c>
      <c r="W1046" s="120">
        <v>-9999</v>
      </c>
      <c r="X1046" s="120">
        <v>-9999</v>
      </c>
      <c r="Y1046" s="120">
        <v>-9999</v>
      </c>
      <c r="Z1046" s="120">
        <v>-9999</v>
      </c>
      <c r="AA1046" s="120">
        <v>68</v>
      </c>
      <c r="AB1046" s="120">
        <v>14.5</v>
      </c>
      <c r="AC1046" s="120">
        <v>1045</v>
      </c>
      <c r="AD1046" s="120">
        <v>2317</v>
      </c>
      <c r="AE1046" s="120">
        <v>-9999</v>
      </c>
      <c r="AF1046" s="120">
        <v>-9999</v>
      </c>
      <c r="AG1046" s="120">
        <v>-9999</v>
      </c>
    </row>
    <row r="1047" spans="1:33" x14ac:dyDescent="0.25">
      <c r="A1047" s="120">
        <v>1046</v>
      </c>
      <c r="B1047" s="120" t="b">
        <v>0</v>
      </c>
      <c r="C1047" s="120">
        <v>0</v>
      </c>
      <c r="D1047" s="61">
        <v>4</v>
      </c>
      <c r="E1047" s="120">
        <v>1</v>
      </c>
      <c r="F1047" s="120" t="s">
        <v>174</v>
      </c>
      <c r="G1047" s="55">
        <v>60</v>
      </c>
      <c r="H1047" s="120">
        <v>288</v>
      </c>
      <c r="I1047" s="57">
        <v>90</v>
      </c>
      <c r="J1047" s="120">
        <v>100</v>
      </c>
      <c r="K1047" s="120">
        <v>4</v>
      </c>
      <c r="L1047" s="120">
        <v>100</v>
      </c>
      <c r="M1047" s="120">
        <v>-9999</v>
      </c>
      <c r="N1047" s="120">
        <v>-9999</v>
      </c>
      <c r="O1047" s="120">
        <v>2</v>
      </c>
      <c r="P1047" s="120">
        <v>-9999</v>
      </c>
      <c r="Q1047" s="120">
        <v>62.200000762939503</v>
      </c>
      <c r="R1047" s="120">
        <v>50.599998474121101</v>
      </c>
      <c r="S1047" s="148">
        <v>17.600000381469702</v>
      </c>
      <c r="T1047" s="120">
        <v>-9999</v>
      </c>
      <c r="U1047" s="120">
        <v>15</v>
      </c>
      <c r="V1047" s="120">
        <v>-9999</v>
      </c>
      <c r="W1047" s="120">
        <v>-9999</v>
      </c>
      <c r="X1047" s="120">
        <v>-9999</v>
      </c>
      <c r="Y1047" s="120">
        <v>-9999</v>
      </c>
      <c r="Z1047" s="120">
        <v>-9999</v>
      </c>
      <c r="AA1047" s="120">
        <v>68</v>
      </c>
      <c r="AB1047" s="120">
        <v>14.5</v>
      </c>
      <c r="AC1047" s="120">
        <v>1046</v>
      </c>
      <c r="AD1047" s="120">
        <v>2318</v>
      </c>
      <c r="AE1047" s="120">
        <v>-9999</v>
      </c>
      <c r="AF1047" s="120">
        <v>-9999</v>
      </c>
      <c r="AG1047" s="120">
        <v>-9999</v>
      </c>
    </row>
    <row r="1048" spans="1:33" x14ac:dyDescent="0.25">
      <c r="A1048" s="120">
        <v>1047</v>
      </c>
      <c r="B1048" s="120" t="b">
        <v>0</v>
      </c>
      <c r="C1048" s="120">
        <v>0</v>
      </c>
      <c r="D1048" s="61">
        <v>4</v>
      </c>
      <c r="E1048" s="120">
        <v>1</v>
      </c>
      <c r="F1048" s="120" t="s">
        <v>174</v>
      </c>
      <c r="G1048" s="55">
        <v>60</v>
      </c>
      <c r="H1048" s="120">
        <v>272</v>
      </c>
      <c r="I1048" s="57">
        <v>100</v>
      </c>
      <c r="J1048" s="120">
        <v>110</v>
      </c>
      <c r="K1048" s="120">
        <v>4</v>
      </c>
      <c r="L1048" s="120">
        <v>100</v>
      </c>
      <c r="M1048" s="120">
        <v>-9999</v>
      </c>
      <c r="N1048" s="120">
        <v>-9999</v>
      </c>
      <c r="O1048" s="120">
        <v>2</v>
      </c>
      <c r="P1048" s="120">
        <v>-9999</v>
      </c>
      <c r="Q1048" s="120">
        <v>63</v>
      </c>
      <c r="R1048" s="120">
        <v>51.299999237060497</v>
      </c>
      <c r="S1048" s="148">
        <v>18.899999618530298</v>
      </c>
      <c r="T1048" s="120">
        <v>-9999</v>
      </c>
      <c r="U1048" s="120">
        <v>15</v>
      </c>
      <c r="V1048" s="120">
        <v>-9999</v>
      </c>
      <c r="W1048" s="120">
        <v>-9999</v>
      </c>
      <c r="X1048" s="120">
        <v>-9999</v>
      </c>
      <c r="Y1048" s="120">
        <v>-9999</v>
      </c>
      <c r="Z1048" s="120">
        <v>-9999</v>
      </c>
      <c r="AA1048" s="120">
        <v>68</v>
      </c>
      <c r="AB1048" s="120">
        <v>14.5</v>
      </c>
      <c r="AC1048" s="120">
        <v>1047</v>
      </c>
      <c r="AD1048" s="120">
        <v>2319</v>
      </c>
      <c r="AE1048" s="120">
        <v>-9999</v>
      </c>
      <c r="AF1048" s="120">
        <v>-9999</v>
      </c>
      <c r="AG1048" s="120">
        <v>-9999</v>
      </c>
    </row>
    <row r="1049" spans="1:33" x14ac:dyDescent="0.25">
      <c r="A1049" s="120">
        <v>1048</v>
      </c>
      <c r="B1049" s="120" t="b">
        <v>0</v>
      </c>
      <c r="C1049" s="120">
        <v>0</v>
      </c>
      <c r="D1049" s="61">
        <v>4</v>
      </c>
      <c r="E1049" s="120">
        <v>1</v>
      </c>
      <c r="F1049" s="120" t="s">
        <v>174</v>
      </c>
      <c r="G1049" s="55">
        <v>60</v>
      </c>
      <c r="H1049" s="120">
        <v>254</v>
      </c>
      <c r="I1049" s="57">
        <v>110</v>
      </c>
      <c r="J1049" s="120">
        <v>120</v>
      </c>
      <c r="K1049" s="120">
        <v>4</v>
      </c>
      <c r="L1049" s="120">
        <v>100</v>
      </c>
      <c r="M1049" s="120">
        <v>-9999</v>
      </c>
      <c r="N1049" s="120">
        <v>-9999</v>
      </c>
      <c r="O1049" s="120">
        <v>2</v>
      </c>
      <c r="P1049" s="120">
        <v>-9999</v>
      </c>
      <c r="Q1049" s="120">
        <v>63</v>
      </c>
      <c r="R1049" s="120">
        <v>51.299999237060497</v>
      </c>
      <c r="S1049" s="148">
        <v>20.200000762939499</v>
      </c>
      <c r="T1049" s="120">
        <v>-9999</v>
      </c>
      <c r="U1049" s="120">
        <v>15</v>
      </c>
      <c r="V1049" s="120">
        <v>-9999</v>
      </c>
      <c r="W1049" s="120">
        <v>-9999</v>
      </c>
      <c r="X1049" s="120">
        <v>-9999</v>
      </c>
      <c r="Y1049" s="120">
        <v>-9999</v>
      </c>
      <c r="Z1049" s="120">
        <v>-9999</v>
      </c>
      <c r="AA1049" s="120">
        <v>68</v>
      </c>
      <c r="AB1049" s="120">
        <v>14.5</v>
      </c>
      <c r="AC1049" s="120">
        <v>1048</v>
      </c>
      <c r="AD1049" s="120">
        <v>2320</v>
      </c>
      <c r="AE1049" s="120">
        <v>-9999</v>
      </c>
      <c r="AF1049" s="120">
        <v>-9999</v>
      </c>
      <c r="AG1049" s="120">
        <v>-9999</v>
      </c>
    </row>
    <row r="1050" spans="1:33" x14ac:dyDescent="0.25">
      <c r="A1050" s="120">
        <v>1049</v>
      </c>
      <c r="B1050" s="120" t="b">
        <v>0</v>
      </c>
      <c r="C1050" s="120">
        <v>0</v>
      </c>
      <c r="D1050" s="61">
        <v>4</v>
      </c>
      <c r="E1050" s="120">
        <v>1</v>
      </c>
      <c r="F1050" s="120" t="s">
        <v>174</v>
      </c>
      <c r="G1050" s="55">
        <v>60</v>
      </c>
      <c r="H1050" s="120">
        <v>239</v>
      </c>
      <c r="I1050" s="57">
        <v>120</v>
      </c>
      <c r="J1050" s="120">
        <v>130</v>
      </c>
      <c r="K1050" s="120">
        <v>4</v>
      </c>
      <c r="L1050" s="120">
        <v>100</v>
      </c>
      <c r="M1050" s="120">
        <v>-9999</v>
      </c>
      <c r="N1050" s="120">
        <v>-9999</v>
      </c>
      <c r="O1050" s="120">
        <v>2</v>
      </c>
      <c r="P1050" s="120">
        <v>-9999</v>
      </c>
      <c r="Q1050" s="120">
        <v>63</v>
      </c>
      <c r="R1050" s="120">
        <v>51.299999237060497</v>
      </c>
      <c r="S1050" s="148">
        <v>21.5</v>
      </c>
      <c r="T1050" s="120">
        <v>-9999</v>
      </c>
      <c r="U1050" s="120">
        <v>15</v>
      </c>
      <c r="V1050" s="120">
        <v>-9999</v>
      </c>
      <c r="W1050" s="120">
        <v>-9999</v>
      </c>
      <c r="X1050" s="120">
        <v>-9999</v>
      </c>
      <c r="Y1050" s="120">
        <v>-9999</v>
      </c>
      <c r="Z1050" s="120">
        <v>-9999</v>
      </c>
      <c r="AA1050" s="120">
        <v>68</v>
      </c>
      <c r="AB1050" s="120">
        <v>14.5</v>
      </c>
      <c r="AC1050" s="120">
        <v>1049</v>
      </c>
      <c r="AD1050" s="120">
        <v>2321</v>
      </c>
      <c r="AE1050" s="120">
        <v>-9999</v>
      </c>
      <c r="AF1050" s="120">
        <v>-9999</v>
      </c>
      <c r="AG1050" s="120">
        <v>-9999</v>
      </c>
    </row>
    <row r="1051" spans="1:33" x14ac:dyDescent="0.25">
      <c r="A1051" s="120">
        <v>1050</v>
      </c>
      <c r="B1051" s="120" t="b">
        <v>0</v>
      </c>
      <c r="C1051" s="120">
        <v>0</v>
      </c>
      <c r="D1051" s="61">
        <v>4</v>
      </c>
      <c r="E1051" s="120">
        <v>1</v>
      </c>
      <c r="F1051" s="120" t="s">
        <v>174</v>
      </c>
      <c r="G1051" s="55">
        <v>60</v>
      </c>
      <c r="H1051" s="120">
        <v>232</v>
      </c>
      <c r="I1051" s="57">
        <v>125</v>
      </c>
      <c r="J1051" s="120">
        <v>135</v>
      </c>
      <c r="K1051" s="120">
        <v>4</v>
      </c>
      <c r="L1051" s="120">
        <v>100</v>
      </c>
      <c r="M1051" s="120">
        <v>-9999</v>
      </c>
      <c r="N1051" s="120">
        <v>-9999</v>
      </c>
      <c r="O1051" s="120">
        <v>2</v>
      </c>
      <c r="P1051" s="120">
        <v>-9999</v>
      </c>
      <c r="Q1051" s="120">
        <v>63</v>
      </c>
      <c r="R1051" s="120">
        <v>51.299999237060497</v>
      </c>
      <c r="S1051" s="148">
        <v>22</v>
      </c>
      <c r="T1051" s="120">
        <v>-9999</v>
      </c>
      <c r="U1051" s="120">
        <v>15</v>
      </c>
      <c r="V1051" s="120">
        <v>-9999</v>
      </c>
      <c r="W1051" s="120">
        <v>-9999</v>
      </c>
      <c r="X1051" s="120">
        <v>-9999</v>
      </c>
      <c r="Y1051" s="120">
        <v>-9999</v>
      </c>
      <c r="Z1051" s="120">
        <v>-9999</v>
      </c>
      <c r="AA1051" s="120">
        <v>68</v>
      </c>
      <c r="AB1051" s="120">
        <v>14.5</v>
      </c>
      <c r="AC1051" s="120">
        <v>1050</v>
      </c>
      <c r="AD1051" s="120">
        <v>2322</v>
      </c>
      <c r="AE1051" s="120">
        <v>-9999</v>
      </c>
      <c r="AF1051" s="120">
        <v>-9999</v>
      </c>
      <c r="AG1051" s="120">
        <v>-9999</v>
      </c>
    </row>
    <row r="1052" spans="1:33" x14ac:dyDescent="0.25">
      <c r="A1052" s="120">
        <v>1051</v>
      </c>
      <c r="B1052" s="120" t="b">
        <v>0</v>
      </c>
      <c r="C1052" s="120">
        <v>0</v>
      </c>
      <c r="D1052" s="61">
        <v>4</v>
      </c>
      <c r="E1052" s="120">
        <v>1</v>
      </c>
      <c r="F1052" s="120" t="s">
        <v>175</v>
      </c>
      <c r="G1052" s="55">
        <v>75</v>
      </c>
      <c r="H1052" s="120">
        <v>645</v>
      </c>
      <c r="I1052" s="57">
        <v>30</v>
      </c>
      <c r="J1052" s="120">
        <v>40</v>
      </c>
      <c r="K1052" s="120">
        <v>4</v>
      </c>
      <c r="L1052" s="120">
        <v>100</v>
      </c>
      <c r="M1052" s="120">
        <v>-9999</v>
      </c>
      <c r="N1052" s="120">
        <v>-9999</v>
      </c>
      <c r="O1052" s="120">
        <v>2</v>
      </c>
      <c r="P1052" s="120">
        <v>-9999</v>
      </c>
      <c r="Q1052" s="120">
        <v>67.699996948242202</v>
      </c>
      <c r="R1052" s="120">
        <v>55.099998474121101</v>
      </c>
      <c r="S1052" s="148">
        <v>8.5</v>
      </c>
      <c r="T1052" s="120">
        <v>-9999</v>
      </c>
      <c r="U1052" s="120">
        <v>15</v>
      </c>
      <c r="V1052" s="120">
        <v>-9999</v>
      </c>
      <c r="W1052" s="120">
        <v>-9999</v>
      </c>
      <c r="X1052" s="120">
        <v>-9999</v>
      </c>
      <c r="Y1052" s="120">
        <v>-9999</v>
      </c>
      <c r="Z1052" s="120">
        <v>-9999</v>
      </c>
      <c r="AA1052" s="120">
        <v>68</v>
      </c>
      <c r="AB1052" s="120">
        <v>14.5</v>
      </c>
      <c r="AC1052" s="120">
        <v>1051</v>
      </c>
      <c r="AD1052" s="120">
        <v>2323</v>
      </c>
      <c r="AE1052" s="120">
        <v>-9999</v>
      </c>
      <c r="AF1052" s="120">
        <v>-9999</v>
      </c>
      <c r="AG1052" s="120">
        <v>-9999</v>
      </c>
    </row>
    <row r="1053" spans="1:33" x14ac:dyDescent="0.25">
      <c r="A1053" s="120">
        <v>1052</v>
      </c>
      <c r="B1053" s="120" t="b">
        <v>0</v>
      </c>
      <c r="C1053" s="120">
        <v>0</v>
      </c>
      <c r="D1053" s="61">
        <v>4</v>
      </c>
      <c r="E1053" s="120">
        <v>1</v>
      </c>
      <c r="F1053" s="120" t="s">
        <v>175</v>
      </c>
      <c r="G1053" s="55">
        <v>75</v>
      </c>
      <c r="H1053" s="120">
        <v>566</v>
      </c>
      <c r="I1053" s="57">
        <v>40</v>
      </c>
      <c r="J1053" s="120">
        <v>50</v>
      </c>
      <c r="K1053" s="120">
        <v>4</v>
      </c>
      <c r="L1053" s="120">
        <v>100</v>
      </c>
      <c r="M1053" s="120">
        <v>-9999</v>
      </c>
      <c r="N1053" s="120">
        <v>-9999</v>
      </c>
      <c r="O1053" s="120">
        <v>2</v>
      </c>
      <c r="P1053" s="120">
        <v>-9999</v>
      </c>
      <c r="Q1053" s="120">
        <v>71.300003051757798</v>
      </c>
      <c r="R1053" s="120">
        <v>58</v>
      </c>
      <c r="S1053" s="148">
        <v>10.300000190734901</v>
      </c>
      <c r="T1053" s="120">
        <v>-9999</v>
      </c>
      <c r="U1053" s="120">
        <v>15</v>
      </c>
      <c r="V1053" s="120">
        <v>-9999</v>
      </c>
      <c r="W1053" s="120">
        <v>-9999</v>
      </c>
      <c r="X1053" s="120">
        <v>-9999</v>
      </c>
      <c r="Y1053" s="120">
        <v>-9999</v>
      </c>
      <c r="Z1053" s="120">
        <v>-9999</v>
      </c>
      <c r="AA1053" s="120">
        <v>68</v>
      </c>
      <c r="AB1053" s="120">
        <v>14.5</v>
      </c>
      <c r="AC1053" s="120">
        <v>1052</v>
      </c>
      <c r="AD1053" s="120">
        <v>2324</v>
      </c>
      <c r="AE1053" s="120">
        <v>-9999</v>
      </c>
      <c r="AF1053" s="120">
        <v>-9999</v>
      </c>
      <c r="AG1053" s="120">
        <v>-9999</v>
      </c>
    </row>
    <row r="1054" spans="1:33" x14ac:dyDescent="0.25">
      <c r="A1054" s="120">
        <v>1053</v>
      </c>
      <c r="B1054" s="120" t="b">
        <v>0</v>
      </c>
      <c r="C1054" s="120">
        <v>0</v>
      </c>
      <c r="D1054" s="61">
        <v>4</v>
      </c>
      <c r="E1054" s="120">
        <v>1</v>
      </c>
      <c r="F1054" s="120" t="s">
        <v>175</v>
      </c>
      <c r="G1054" s="55">
        <v>75</v>
      </c>
      <c r="H1054" s="120">
        <v>511</v>
      </c>
      <c r="I1054" s="57">
        <v>50</v>
      </c>
      <c r="J1054" s="120">
        <v>60</v>
      </c>
      <c r="K1054" s="120">
        <v>4</v>
      </c>
      <c r="L1054" s="120">
        <v>100</v>
      </c>
      <c r="M1054" s="120">
        <v>-9999</v>
      </c>
      <c r="N1054" s="120">
        <v>-9999</v>
      </c>
      <c r="O1054" s="120">
        <v>2</v>
      </c>
      <c r="P1054" s="120">
        <v>-9999</v>
      </c>
      <c r="Q1054" s="120">
        <v>73.599998474121094</v>
      </c>
      <c r="R1054" s="120">
        <v>59.799999237060497</v>
      </c>
      <c r="S1054" s="148">
        <v>11.699999809265099</v>
      </c>
      <c r="T1054" s="120">
        <v>-9999</v>
      </c>
      <c r="U1054" s="120">
        <v>15</v>
      </c>
      <c r="V1054" s="120">
        <v>-9999</v>
      </c>
      <c r="W1054" s="120">
        <v>-9999</v>
      </c>
      <c r="X1054" s="120">
        <v>-9999</v>
      </c>
      <c r="Y1054" s="120">
        <v>-9999</v>
      </c>
      <c r="Z1054" s="120">
        <v>-9999</v>
      </c>
      <c r="AA1054" s="120">
        <v>68</v>
      </c>
      <c r="AB1054" s="120">
        <v>14.5</v>
      </c>
      <c r="AC1054" s="120">
        <v>1053</v>
      </c>
      <c r="AD1054" s="120">
        <v>2325</v>
      </c>
      <c r="AE1054" s="120">
        <v>-9999</v>
      </c>
      <c r="AF1054" s="120">
        <v>-9999</v>
      </c>
      <c r="AG1054" s="120">
        <v>-9999</v>
      </c>
    </row>
    <row r="1055" spans="1:33" x14ac:dyDescent="0.25">
      <c r="A1055" s="120">
        <v>1054</v>
      </c>
      <c r="B1055" s="120" t="b">
        <v>0</v>
      </c>
      <c r="C1055" s="120">
        <v>0</v>
      </c>
      <c r="D1055" s="61">
        <v>4</v>
      </c>
      <c r="E1055" s="120">
        <v>1</v>
      </c>
      <c r="F1055" s="120" t="s">
        <v>175</v>
      </c>
      <c r="G1055" s="55">
        <v>75</v>
      </c>
      <c r="H1055" s="120">
        <v>458</v>
      </c>
      <c r="I1055" s="57">
        <v>60</v>
      </c>
      <c r="J1055" s="120">
        <v>70</v>
      </c>
      <c r="K1055" s="120">
        <v>4</v>
      </c>
      <c r="L1055" s="120">
        <v>100</v>
      </c>
      <c r="M1055" s="120">
        <v>-9999</v>
      </c>
      <c r="N1055" s="120">
        <v>-9999</v>
      </c>
      <c r="O1055" s="120">
        <v>2</v>
      </c>
      <c r="P1055" s="120">
        <v>-9999</v>
      </c>
      <c r="Q1055" s="120">
        <v>75.099998474121094</v>
      </c>
      <c r="R1055" s="120">
        <v>61.099998474121101</v>
      </c>
      <c r="S1055" s="148">
        <v>13.300000190734901</v>
      </c>
      <c r="T1055" s="120">
        <v>-9999</v>
      </c>
      <c r="U1055" s="120">
        <v>15</v>
      </c>
      <c r="V1055" s="120">
        <v>-9999</v>
      </c>
      <c r="W1055" s="120">
        <v>-9999</v>
      </c>
      <c r="X1055" s="120">
        <v>-9999</v>
      </c>
      <c r="Y1055" s="120">
        <v>-9999</v>
      </c>
      <c r="Z1055" s="120">
        <v>-9999</v>
      </c>
      <c r="AA1055" s="120">
        <v>68</v>
      </c>
      <c r="AB1055" s="120">
        <v>14.5</v>
      </c>
      <c r="AC1055" s="120">
        <v>1054</v>
      </c>
      <c r="AD1055" s="120">
        <v>2326</v>
      </c>
      <c r="AE1055" s="120">
        <v>-9999</v>
      </c>
      <c r="AF1055" s="120">
        <v>-9999</v>
      </c>
      <c r="AG1055" s="120">
        <v>-9999</v>
      </c>
    </row>
    <row r="1056" spans="1:33" x14ac:dyDescent="0.25">
      <c r="A1056" s="120">
        <v>1055</v>
      </c>
      <c r="B1056" s="120" t="b">
        <v>0</v>
      </c>
      <c r="C1056" s="120">
        <v>0</v>
      </c>
      <c r="D1056" s="61">
        <v>4</v>
      </c>
      <c r="E1056" s="120">
        <v>1</v>
      </c>
      <c r="F1056" s="120" t="s">
        <v>175</v>
      </c>
      <c r="G1056" s="55">
        <v>75</v>
      </c>
      <c r="H1056" s="120">
        <v>419</v>
      </c>
      <c r="I1056" s="57">
        <v>70</v>
      </c>
      <c r="J1056" s="120">
        <v>80</v>
      </c>
      <c r="K1056" s="120">
        <v>4</v>
      </c>
      <c r="L1056" s="120">
        <v>100</v>
      </c>
      <c r="M1056" s="120">
        <v>-9999</v>
      </c>
      <c r="N1056" s="120">
        <v>-9999</v>
      </c>
      <c r="O1056" s="120">
        <v>2</v>
      </c>
      <c r="P1056" s="120">
        <v>-9999</v>
      </c>
      <c r="Q1056" s="120">
        <v>76.199996948242202</v>
      </c>
      <c r="R1056" s="120">
        <v>62</v>
      </c>
      <c r="S1056" s="148">
        <v>14.800000190734901</v>
      </c>
      <c r="T1056" s="120">
        <v>-9999</v>
      </c>
      <c r="U1056" s="120">
        <v>15</v>
      </c>
      <c r="V1056" s="120">
        <v>-9999</v>
      </c>
      <c r="W1056" s="120">
        <v>-9999</v>
      </c>
      <c r="X1056" s="120">
        <v>-9999</v>
      </c>
      <c r="Y1056" s="120">
        <v>-9999</v>
      </c>
      <c r="Z1056" s="120">
        <v>-9999</v>
      </c>
      <c r="AA1056" s="120">
        <v>68</v>
      </c>
      <c r="AB1056" s="120">
        <v>14.5</v>
      </c>
      <c r="AC1056" s="120">
        <v>1055</v>
      </c>
      <c r="AD1056" s="120">
        <v>2327</v>
      </c>
      <c r="AE1056" s="120">
        <v>-9999</v>
      </c>
      <c r="AF1056" s="120">
        <v>-9999</v>
      </c>
      <c r="AG1056" s="120">
        <v>-9999</v>
      </c>
    </row>
    <row r="1057" spans="1:33" x14ac:dyDescent="0.25">
      <c r="A1057" s="120">
        <v>1056</v>
      </c>
      <c r="B1057" s="120" t="b">
        <v>0</v>
      </c>
      <c r="C1057" s="120">
        <v>0</v>
      </c>
      <c r="D1057" s="61">
        <v>4</v>
      </c>
      <c r="E1057" s="120">
        <v>1</v>
      </c>
      <c r="F1057" s="120" t="s">
        <v>175</v>
      </c>
      <c r="G1057" s="55">
        <v>75</v>
      </c>
      <c r="H1057" s="120">
        <v>387</v>
      </c>
      <c r="I1057" s="57">
        <v>80</v>
      </c>
      <c r="J1057" s="120">
        <v>90</v>
      </c>
      <c r="K1057" s="120">
        <v>4</v>
      </c>
      <c r="L1057" s="120">
        <v>100</v>
      </c>
      <c r="M1057" s="120">
        <v>-9999</v>
      </c>
      <c r="N1057" s="120">
        <v>-9999</v>
      </c>
      <c r="O1057" s="120">
        <v>2</v>
      </c>
      <c r="P1057" s="120">
        <v>-9999</v>
      </c>
      <c r="Q1057" s="120">
        <v>77.099998474121094</v>
      </c>
      <c r="R1057" s="120">
        <v>62.700000762939503</v>
      </c>
      <c r="S1057" s="148">
        <v>16.200000762939499</v>
      </c>
      <c r="T1057" s="120">
        <v>-9999</v>
      </c>
      <c r="U1057" s="120">
        <v>15</v>
      </c>
      <c r="V1057" s="120">
        <v>-9999</v>
      </c>
      <c r="W1057" s="120">
        <v>-9999</v>
      </c>
      <c r="X1057" s="120">
        <v>-9999</v>
      </c>
      <c r="Y1057" s="120">
        <v>-9999</v>
      </c>
      <c r="Z1057" s="120">
        <v>-9999</v>
      </c>
      <c r="AA1057" s="120">
        <v>68</v>
      </c>
      <c r="AB1057" s="120">
        <v>14.5</v>
      </c>
      <c r="AC1057" s="120">
        <v>1056</v>
      </c>
      <c r="AD1057" s="120">
        <v>2328</v>
      </c>
      <c r="AE1057" s="120">
        <v>-9999</v>
      </c>
      <c r="AF1057" s="120">
        <v>-9999</v>
      </c>
      <c r="AG1057" s="120">
        <v>-9999</v>
      </c>
    </row>
    <row r="1058" spans="1:33" x14ac:dyDescent="0.25">
      <c r="A1058" s="120">
        <v>1057</v>
      </c>
      <c r="B1058" s="120" t="b">
        <v>0</v>
      </c>
      <c r="C1058" s="120">
        <v>0</v>
      </c>
      <c r="D1058" s="61">
        <v>4</v>
      </c>
      <c r="E1058" s="120">
        <v>1</v>
      </c>
      <c r="F1058" s="120" t="s">
        <v>175</v>
      </c>
      <c r="G1058" s="55">
        <v>75</v>
      </c>
      <c r="H1058" s="120">
        <v>360</v>
      </c>
      <c r="I1058" s="57">
        <v>90</v>
      </c>
      <c r="J1058" s="120">
        <v>100</v>
      </c>
      <c r="K1058" s="120">
        <v>4</v>
      </c>
      <c r="L1058" s="120">
        <v>100</v>
      </c>
      <c r="M1058" s="120">
        <v>-9999</v>
      </c>
      <c r="N1058" s="120">
        <v>-9999</v>
      </c>
      <c r="O1058" s="120">
        <v>2</v>
      </c>
      <c r="P1058" s="120">
        <v>-9999</v>
      </c>
      <c r="Q1058" s="120">
        <v>77.699996948242202</v>
      </c>
      <c r="R1058" s="120">
        <v>63.200000762939503</v>
      </c>
      <c r="S1058" s="148">
        <v>17.600000381469702</v>
      </c>
      <c r="T1058" s="120">
        <v>-9999</v>
      </c>
      <c r="U1058" s="120">
        <v>15</v>
      </c>
      <c r="V1058" s="120">
        <v>-9999</v>
      </c>
      <c r="W1058" s="120">
        <v>-9999</v>
      </c>
      <c r="X1058" s="120">
        <v>-9999</v>
      </c>
      <c r="Y1058" s="120">
        <v>-9999</v>
      </c>
      <c r="Z1058" s="120">
        <v>-9999</v>
      </c>
      <c r="AA1058" s="120">
        <v>68</v>
      </c>
      <c r="AB1058" s="120">
        <v>14.5</v>
      </c>
      <c r="AC1058" s="120">
        <v>1057</v>
      </c>
      <c r="AD1058" s="120">
        <v>2329</v>
      </c>
      <c r="AE1058" s="120">
        <v>-9999</v>
      </c>
      <c r="AF1058" s="120">
        <v>-9999</v>
      </c>
      <c r="AG1058" s="120">
        <v>-9999</v>
      </c>
    </row>
    <row r="1059" spans="1:33" x14ac:dyDescent="0.25">
      <c r="A1059" s="120">
        <v>1058</v>
      </c>
      <c r="B1059" s="120" t="b">
        <v>0</v>
      </c>
      <c r="C1059" s="120">
        <v>0</v>
      </c>
      <c r="D1059" s="61">
        <v>4</v>
      </c>
      <c r="E1059" s="120">
        <v>1</v>
      </c>
      <c r="F1059" s="120" t="s">
        <v>175</v>
      </c>
      <c r="G1059" s="55">
        <v>75</v>
      </c>
      <c r="H1059" s="120">
        <v>339</v>
      </c>
      <c r="I1059" s="57">
        <v>100</v>
      </c>
      <c r="J1059" s="120">
        <v>110</v>
      </c>
      <c r="K1059" s="120">
        <v>4</v>
      </c>
      <c r="L1059" s="120">
        <v>100</v>
      </c>
      <c r="M1059" s="120">
        <v>-9999</v>
      </c>
      <c r="N1059" s="120">
        <v>-9999</v>
      </c>
      <c r="O1059" s="120">
        <v>2</v>
      </c>
      <c r="P1059" s="120">
        <v>-9999</v>
      </c>
      <c r="Q1059" s="120">
        <v>78.800003051757798</v>
      </c>
      <c r="R1059" s="120">
        <v>64.099998474121094</v>
      </c>
      <c r="S1059" s="148">
        <v>18.899999618530298</v>
      </c>
      <c r="T1059" s="120">
        <v>-9999</v>
      </c>
      <c r="U1059" s="120">
        <v>15</v>
      </c>
      <c r="V1059" s="120">
        <v>-9999</v>
      </c>
      <c r="W1059" s="120">
        <v>-9999</v>
      </c>
      <c r="X1059" s="120">
        <v>-9999</v>
      </c>
      <c r="Y1059" s="120">
        <v>-9999</v>
      </c>
      <c r="Z1059" s="120">
        <v>-9999</v>
      </c>
      <c r="AA1059" s="120">
        <v>68</v>
      </c>
      <c r="AB1059" s="120">
        <v>14.5</v>
      </c>
      <c r="AC1059" s="120">
        <v>1058</v>
      </c>
      <c r="AD1059" s="120">
        <v>2330</v>
      </c>
      <c r="AE1059" s="120">
        <v>-9999</v>
      </c>
      <c r="AF1059" s="120">
        <v>-9999</v>
      </c>
      <c r="AG1059" s="120">
        <v>-9999</v>
      </c>
    </row>
    <row r="1060" spans="1:33" x14ac:dyDescent="0.25">
      <c r="A1060" s="120">
        <v>1059</v>
      </c>
      <c r="B1060" s="120" t="b">
        <v>0</v>
      </c>
      <c r="C1060" s="120">
        <v>0</v>
      </c>
      <c r="D1060" s="61">
        <v>4</v>
      </c>
      <c r="E1060" s="120">
        <v>1</v>
      </c>
      <c r="F1060" s="120" t="s">
        <v>175</v>
      </c>
      <c r="G1060" s="55">
        <v>75</v>
      </c>
      <c r="H1060" s="120">
        <v>318</v>
      </c>
      <c r="I1060" s="57">
        <v>110</v>
      </c>
      <c r="J1060" s="120">
        <v>120</v>
      </c>
      <c r="K1060" s="120">
        <v>4</v>
      </c>
      <c r="L1060" s="120">
        <v>100</v>
      </c>
      <c r="M1060" s="120">
        <v>-9999</v>
      </c>
      <c r="N1060" s="120">
        <v>-9999</v>
      </c>
      <c r="O1060" s="120">
        <v>2</v>
      </c>
      <c r="P1060" s="120">
        <v>-9999</v>
      </c>
      <c r="Q1060" s="120">
        <v>78.800003051757798</v>
      </c>
      <c r="R1060" s="120">
        <v>64.099998474121094</v>
      </c>
      <c r="S1060" s="148">
        <v>20.200000762939499</v>
      </c>
      <c r="T1060" s="120">
        <v>-9999</v>
      </c>
      <c r="U1060" s="120">
        <v>15</v>
      </c>
      <c r="V1060" s="120">
        <v>-9999</v>
      </c>
      <c r="W1060" s="120">
        <v>-9999</v>
      </c>
      <c r="X1060" s="120">
        <v>-9999</v>
      </c>
      <c r="Y1060" s="120">
        <v>-9999</v>
      </c>
      <c r="Z1060" s="120">
        <v>-9999</v>
      </c>
      <c r="AA1060" s="120">
        <v>68</v>
      </c>
      <c r="AB1060" s="120">
        <v>14.5</v>
      </c>
      <c r="AC1060" s="120">
        <v>1059</v>
      </c>
      <c r="AD1060" s="120">
        <v>2331</v>
      </c>
      <c r="AE1060" s="120">
        <v>-9999</v>
      </c>
      <c r="AF1060" s="120">
        <v>-9999</v>
      </c>
      <c r="AG1060" s="120">
        <v>-9999</v>
      </c>
    </row>
    <row r="1061" spans="1:33" x14ac:dyDescent="0.25">
      <c r="A1061" s="120">
        <v>1060</v>
      </c>
      <c r="B1061" s="120" t="b">
        <v>0</v>
      </c>
      <c r="C1061" s="120">
        <v>0</v>
      </c>
      <c r="D1061" s="61">
        <v>4</v>
      </c>
      <c r="E1061" s="120">
        <v>1</v>
      </c>
      <c r="F1061" s="120" t="s">
        <v>175</v>
      </c>
      <c r="G1061" s="55">
        <v>75</v>
      </c>
      <c r="H1061" s="120">
        <v>298</v>
      </c>
      <c r="I1061" s="57">
        <v>120</v>
      </c>
      <c r="J1061" s="120">
        <v>130</v>
      </c>
      <c r="K1061" s="120">
        <v>4</v>
      </c>
      <c r="L1061" s="120">
        <v>100</v>
      </c>
      <c r="M1061" s="120">
        <v>-9999</v>
      </c>
      <c r="N1061" s="120">
        <v>-9999</v>
      </c>
      <c r="O1061" s="120">
        <v>2</v>
      </c>
      <c r="P1061" s="120">
        <v>-9999</v>
      </c>
      <c r="Q1061" s="120">
        <v>78.800003051757798</v>
      </c>
      <c r="R1061" s="120">
        <v>64.099998474121094</v>
      </c>
      <c r="S1061" s="148">
        <v>21.5</v>
      </c>
      <c r="T1061" s="120">
        <v>-9999</v>
      </c>
      <c r="U1061" s="120">
        <v>15</v>
      </c>
      <c r="V1061" s="120">
        <v>-9999</v>
      </c>
      <c r="W1061" s="120">
        <v>-9999</v>
      </c>
      <c r="X1061" s="120">
        <v>-9999</v>
      </c>
      <c r="Y1061" s="120">
        <v>-9999</v>
      </c>
      <c r="Z1061" s="120">
        <v>-9999</v>
      </c>
      <c r="AA1061" s="120">
        <v>68</v>
      </c>
      <c r="AB1061" s="120">
        <v>14.5</v>
      </c>
      <c r="AC1061" s="120">
        <v>1060</v>
      </c>
      <c r="AD1061" s="120">
        <v>2332</v>
      </c>
      <c r="AE1061" s="120">
        <v>-9999</v>
      </c>
      <c r="AF1061" s="120">
        <v>-9999</v>
      </c>
      <c r="AG1061" s="120">
        <v>-9999</v>
      </c>
    </row>
    <row r="1062" spans="1:33" x14ac:dyDescent="0.25">
      <c r="A1062" s="120">
        <v>1061</v>
      </c>
      <c r="B1062" s="120" t="b">
        <v>0</v>
      </c>
      <c r="C1062" s="120">
        <v>0</v>
      </c>
      <c r="D1062" s="61">
        <v>4</v>
      </c>
      <c r="E1062" s="120">
        <v>1</v>
      </c>
      <c r="F1062" s="120" t="s">
        <v>175</v>
      </c>
      <c r="G1062" s="55">
        <v>75</v>
      </c>
      <c r="H1062" s="120">
        <v>291</v>
      </c>
      <c r="I1062" s="57">
        <v>125</v>
      </c>
      <c r="J1062" s="120">
        <v>135</v>
      </c>
      <c r="K1062" s="120">
        <v>4</v>
      </c>
      <c r="L1062" s="120">
        <v>100</v>
      </c>
      <c r="M1062" s="120">
        <v>-9999</v>
      </c>
      <c r="N1062" s="120">
        <v>-9999</v>
      </c>
      <c r="O1062" s="120">
        <v>2</v>
      </c>
      <c r="P1062" s="120">
        <v>-9999</v>
      </c>
      <c r="Q1062" s="120">
        <v>78.800003051757798</v>
      </c>
      <c r="R1062" s="120">
        <v>64.099998474121094</v>
      </c>
      <c r="S1062" s="148">
        <v>22</v>
      </c>
      <c r="T1062" s="120">
        <v>-9999</v>
      </c>
      <c r="U1062" s="120">
        <v>15</v>
      </c>
      <c r="V1062" s="120">
        <v>-9999</v>
      </c>
      <c r="W1062" s="120">
        <v>-9999</v>
      </c>
      <c r="X1062" s="120">
        <v>-9999</v>
      </c>
      <c r="Y1062" s="120">
        <v>-9999</v>
      </c>
      <c r="Z1062" s="120">
        <v>-9999</v>
      </c>
      <c r="AA1062" s="120">
        <v>68</v>
      </c>
      <c r="AB1062" s="120">
        <v>14.5</v>
      </c>
      <c r="AC1062" s="120">
        <v>1061</v>
      </c>
      <c r="AD1062" s="120">
        <v>2333</v>
      </c>
      <c r="AE1062" s="120">
        <v>-9999</v>
      </c>
      <c r="AF1062" s="120">
        <v>-9999</v>
      </c>
      <c r="AG1062" s="120">
        <v>-9999</v>
      </c>
    </row>
    <row r="1063" spans="1:33" x14ac:dyDescent="0.25">
      <c r="A1063" s="120">
        <v>1062</v>
      </c>
      <c r="B1063" s="120" t="b">
        <v>0</v>
      </c>
      <c r="C1063" s="120">
        <v>0</v>
      </c>
      <c r="D1063" s="61">
        <v>4</v>
      </c>
      <c r="E1063" s="120">
        <v>1</v>
      </c>
      <c r="F1063" s="120" t="s">
        <v>176</v>
      </c>
      <c r="G1063" s="55">
        <v>100</v>
      </c>
      <c r="H1063" s="120">
        <v>910</v>
      </c>
      <c r="I1063" s="57">
        <v>30</v>
      </c>
      <c r="J1063" s="120">
        <v>40</v>
      </c>
      <c r="K1063" s="120">
        <v>4</v>
      </c>
      <c r="L1063" s="120">
        <v>100</v>
      </c>
      <c r="M1063" s="120">
        <v>-9999</v>
      </c>
      <c r="N1063" s="120">
        <v>-9999</v>
      </c>
      <c r="O1063" s="120">
        <v>2</v>
      </c>
      <c r="P1063" s="120">
        <v>-9999</v>
      </c>
      <c r="Q1063" s="120">
        <v>90.300003051757798</v>
      </c>
      <c r="R1063" s="120">
        <v>73.5</v>
      </c>
      <c r="S1063" s="148">
        <v>8.1000003814697301</v>
      </c>
      <c r="T1063" s="120">
        <v>-9999</v>
      </c>
      <c r="U1063" s="120">
        <v>15</v>
      </c>
      <c r="V1063" s="120">
        <v>-9999</v>
      </c>
      <c r="W1063" s="120">
        <v>-9999</v>
      </c>
      <c r="X1063" s="120">
        <v>-9999</v>
      </c>
      <c r="Y1063" s="120">
        <v>-9999</v>
      </c>
      <c r="Z1063" s="120">
        <v>-9999</v>
      </c>
      <c r="AA1063" s="120">
        <v>68</v>
      </c>
      <c r="AB1063" s="120">
        <v>14.5</v>
      </c>
      <c r="AC1063" s="120">
        <v>1062</v>
      </c>
      <c r="AD1063" s="120">
        <v>2334</v>
      </c>
      <c r="AE1063" s="120">
        <v>-9999</v>
      </c>
      <c r="AF1063" s="120">
        <v>-9999</v>
      </c>
      <c r="AG1063" s="120">
        <v>-9999</v>
      </c>
    </row>
    <row r="1064" spans="1:33" x14ac:dyDescent="0.25">
      <c r="A1064" s="120">
        <v>1063</v>
      </c>
      <c r="B1064" s="120" t="b">
        <v>0</v>
      </c>
      <c r="C1064" s="120">
        <v>0</v>
      </c>
      <c r="D1064" s="61">
        <v>4</v>
      </c>
      <c r="E1064" s="120">
        <v>1</v>
      </c>
      <c r="F1064" s="120" t="s">
        <v>176</v>
      </c>
      <c r="G1064" s="55">
        <v>100</v>
      </c>
      <c r="H1064" s="120">
        <v>801</v>
      </c>
      <c r="I1064" s="57">
        <v>40</v>
      </c>
      <c r="J1064" s="120">
        <v>50</v>
      </c>
      <c r="K1064" s="120">
        <v>4</v>
      </c>
      <c r="L1064" s="120">
        <v>100</v>
      </c>
      <c r="M1064" s="120">
        <v>-9999</v>
      </c>
      <c r="N1064" s="120">
        <v>-9999</v>
      </c>
      <c r="O1064" s="120">
        <v>2</v>
      </c>
      <c r="P1064" s="120">
        <v>-9999</v>
      </c>
      <c r="Q1064" s="120">
        <v>95.099998474121094</v>
      </c>
      <c r="R1064" s="120">
        <v>77.300003051757798</v>
      </c>
      <c r="S1064" s="148">
        <v>9.6999998092651403</v>
      </c>
      <c r="T1064" s="120">
        <v>-9999</v>
      </c>
      <c r="U1064" s="120">
        <v>15</v>
      </c>
      <c r="V1064" s="120">
        <v>-9999</v>
      </c>
      <c r="W1064" s="120">
        <v>-9999</v>
      </c>
      <c r="X1064" s="120">
        <v>-9999</v>
      </c>
      <c r="Y1064" s="120">
        <v>-9999</v>
      </c>
      <c r="Z1064" s="120">
        <v>-9999</v>
      </c>
      <c r="AA1064" s="120">
        <v>68</v>
      </c>
      <c r="AB1064" s="120">
        <v>14.5</v>
      </c>
      <c r="AC1064" s="120">
        <v>1063</v>
      </c>
      <c r="AD1064" s="120">
        <v>2335</v>
      </c>
      <c r="AE1064" s="120">
        <v>-9999</v>
      </c>
      <c r="AF1064" s="120">
        <v>-9999</v>
      </c>
      <c r="AG1064" s="120">
        <v>-9999</v>
      </c>
    </row>
    <row r="1065" spans="1:33" x14ac:dyDescent="0.25">
      <c r="A1065" s="120">
        <v>1064</v>
      </c>
      <c r="B1065" s="120" t="b">
        <v>0</v>
      </c>
      <c r="C1065" s="120">
        <v>0</v>
      </c>
      <c r="D1065" s="61">
        <v>4</v>
      </c>
      <c r="E1065" s="120">
        <v>1</v>
      </c>
      <c r="F1065" s="120" t="s">
        <v>176</v>
      </c>
      <c r="G1065" s="55">
        <v>100</v>
      </c>
      <c r="H1065" s="120">
        <v>722</v>
      </c>
      <c r="I1065" s="57">
        <v>50</v>
      </c>
      <c r="J1065" s="120">
        <v>60</v>
      </c>
      <c r="K1065" s="120">
        <v>4</v>
      </c>
      <c r="L1065" s="120">
        <v>100</v>
      </c>
      <c r="M1065" s="120">
        <v>-9999</v>
      </c>
      <c r="N1065" s="120">
        <v>-9999</v>
      </c>
      <c r="O1065" s="120">
        <v>2</v>
      </c>
      <c r="P1065" s="120">
        <v>-9999</v>
      </c>
      <c r="Q1065" s="120">
        <v>98.099998474121094</v>
      </c>
      <c r="R1065" s="120">
        <v>79.800003051757798</v>
      </c>
      <c r="S1065" s="148">
        <v>11</v>
      </c>
      <c r="T1065" s="120">
        <v>-9999</v>
      </c>
      <c r="U1065" s="120">
        <v>15</v>
      </c>
      <c r="V1065" s="120">
        <v>-9999</v>
      </c>
      <c r="W1065" s="120">
        <v>-9999</v>
      </c>
      <c r="X1065" s="120">
        <v>-9999</v>
      </c>
      <c r="Y1065" s="120">
        <v>-9999</v>
      </c>
      <c r="Z1065" s="120">
        <v>-9999</v>
      </c>
      <c r="AA1065" s="120">
        <v>68</v>
      </c>
      <c r="AB1065" s="120">
        <v>14.5</v>
      </c>
      <c r="AC1065" s="120">
        <v>1064</v>
      </c>
      <c r="AD1065" s="120">
        <v>2336</v>
      </c>
      <c r="AE1065" s="120">
        <v>-9999</v>
      </c>
      <c r="AF1065" s="120">
        <v>-9999</v>
      </c>
      <c r="AG1065" s="120">
        <v>-9999</v>
      </c>
    </row>
    <row r="1066" spans="1:33" x14ac:dyDescent="0.25">
      <c r="A1066" s="120">
        <v>1065</v>
      </c>
      <c r="B1066" s="120" t="b">
        <v>0</v>
      </c>
      <c r="C1066" s="120">
        <v>0</v>
      </c>
      <c r="D1066" s="61">
        <v>4</v>
      </c>
      <c r="E1066" s="120">
        <v>1</v>
      </c>
      <c r="F1066" s="120" t="s">
        <v>176</v>
      </c>
      <c r="G1066" s="55">
        <v>100</v>
      </c>
      <c r="H1066" s="120">
        <v>662</v>
      </c>
      <c r="I1066" s="57">
        <v>60</v>
      </c>
      <c r="J1066" s="120">
        <v>70</v>
      </c>
      <c r="K1066" s="120">
        <v>4</v>
      </c>
      <c r="L1066" s="120">
        <v>100</v>
      </c>
      <c r="M1066" s="120">
        <v>-9999</v>
      </c>
      <c r="N1066" s="120">
        <v>-9999</v>
      </c>
      <c r="O1066" s="120">
        <v>2</v>
      </c>
      <c r="P1066" s="120">
        <v>-9999</v>
      </c>
      <c r="Q1066" s="120">
        <v>100.09999847412099</v>
      </c>
      <c r="R1066" s="120">
        <v>81.5</v>
      </c>
      <c r="S1066" s="148">
        <v>12.300000190734901</v>
      </c>
      <c r="T1066" s="120">
        <v>-9999</v>
      </c>
      <c r="U1066" s="120">
        <v>15</v>
      </c>
      <c r="V1066" s="120">
        <v>-9999</v>
      </c>
      <c r="W1066" s="120">
        <v>-9999</v>
      </c>
      <c r="X1066" s="120">
        <v>-9999</v>
      </c>
      <c r="Y1066" s="120">
        <v>-9999</v>
      </c>
      <c r="Z1066" s="120">
        <v>-9999</v>
      </c>
      <c r="AA1066" s="120">
        <v>68</v>
      </c>
      <c r="AB1066" s="120">
        <v>14.5</v>
      </c>
      <c r="AC1066" s="120">
        <v>1065</v>
      </c>
      <c r="AD1066" s="120">
        <v>2337</v>
      </c>
      <c r="AE1066" s="120">
        <v>-9999</v>
      </c>
      <c r="AF1066" s="120">
        <v>-9999</v>
      </c>
      <c r="AG1066" s="120">
        <v>-9999</v>
      </c>
    </row>
    <row r="1067" spans="1:33" x14ac:dyDescent="0.25">
      <c r="A1067" s="120">
        <v>1066</v>
      </c>
      <c r="B1067" s="120" t="b">
        <v>0</v>
      </c>
      <c r="C1067" s="120">
        <v>0</v>
      </c>
      <c r="D1067" s="61">
        <v>4</v>
      </c>
      <c r="E1067" s="120">
        <v>1</v>
      </c>
      <c r="F1067" s="120" t="s">
        <v>177</v>
      </c>
      <c r="G1067" s="55">
        <v>125</v>
      </c>
      <c r="H1067" s="120">
        <v>1144</v>
      </c>
      <c r="I1067" s="57">
        <v>30</v>
      </c>
      <c r="J1067" s="120">
        <v>40</v>
      </c>
      <c r="K1067" s="120">
        <v>4</v>
      </c>
      <c r="L1067" s="120">
        <v>100</v>
      </c>
      <c r="M1067" s="120">
        <v>-9999</v>
      </c>
      <c r="N1067" s="120">
        <v>-9999</v>
      </c>
      <c r="O1067" s="120">
        <v>2</v>
      </c>
      <c r="P1067" s="120">
        <v>-9999</v>
      </c>
      <c r="Q1067" s="120">
        <v>112.90000152587901</v>
      </c>
      <c r="R1067" s="120">
        <v>91.099998474121094</v>
      </c>
      <c r="S1067" s="148">
        <v>8</v>
      </c>
      <c r="T1067" s="120">
        <v>-9999</v>
      </c>
      <c r="U1067" s="120">
        <v>15</v>
      </c>
      <c r="V1067" s="120">
        <v>-9999</v>
      </c>
      <c r="W1067" s="120">
        <v>-9999</v>
      </c>
      <c r="X1067" s="120">
        <v>-9999</v>
      </c>
      <c r="Y1067" s="120">
        <v>-9999</v>
      </c>
      <c r="Z1067" s="120">
        <v>-9999</v>
      </c>
      <c r="AA1067" s="120">
        <v>68</v>
      </c>
      <c r="AB1067" s="120">
        <v>14.5</v>
      </c>
      <c r="AC1067" s="120">
        <v>1066</v>
      </c>
      <c r="AD1067" s="120">
        <v>2338</v>
      </c>
      <c r="AE1067" s="120">
        <v>-9999</v>
      </c>
      <c r="AF1067" s="120">
        <v>-9999</v>
      </c>
      <c r="AG1067" s="120">
        <v>-9999</v>
      </c>
    </row>
    <row r="1068" spans="1:33" x14ac:dyDescent="0.25">
      <c r="A1068" s="120">
        <v>1067</v>
      </c>
      <c r="B1068" s="120" t="b">
        <v>0</v>
      </c>
      <c r="C1068" s="120">
        <v>0</v>
      </c>
      <c r="D1068" s="61">
        <v>4</v>
      </c>
      <c r="E1068" s="120">
        <v>1</v>
      </c>
      <c r="F1068" s="120" t="s">
        <v>177</v>
      </c>
      <c r="G1068" s="55">
        <v>125</v>
      </c>
      <c r="H1068" s="120">
        <v>1007</v>
      </c>
      <c r="I1068" s="57">
        <v>40</v>
      </c>
      <c r="J1068" s="120">
        <v>50</v>
      </c>
      <c r="K1068" s="120">
        <v>4</v>
      </c>
      <c r="L1068" s="120">
        <v>100</v>
      </c>
      <c r="M1068" s="120">
        <v>-9999</v>
      </c>
      <c r="N1068" s="120">
        <v>-9999</v>
      </c>
      <c r="O1068" s="120">
        <v>2</v>
      </c>
      <c r="P1068" s="120">
        <v>-9999</v>
      </c>
      <c r="Q1068" s="120">
        <v>118.800003051758</v>
      </c>
      <c r="R1068" s="120">
        <v>95.900001525878906</v>
      </c>
      <c r="S1068" s="148">
        <v>9.5</v>
      </c>
      <c r="T1068" s="120">
        <v>-9999</v>
      </c>
      <c r="U1068" s="120">
        <v>15</v>
      </c>
      <c r="V1068" s="120">
        <v>-9999</v>
      </c>
      <c r="W1068" s="120">
        <v>-9999</v>
      </c>
      <c r="X1068" s="120">
        <v>-9999</v>
      </c>
      <c r="Y1068" s="120">
        <v>-9999</v>
      </c>
      <c r="Z1068" s="120">
        <v>-9999</v>
      </c>
      <c r="AA1068" s="120">
        <v>68</v>
      </c>
      <c r="AB1068" s="120">
        <v>14.5</v>
      </c>
      <c r="AC1068" s="120">
        <v>1067</v>
      </c>
      <c r="AD1068" s="120">
        <v>2339</v>
      </c>
      <c r="AE1068" s="120">
        <v>-9999</v>
      </c>
      <c r="AF1068" s="120">
        <v>-9999</v>
      </c>
      <c r="AG1068" s="120">
        <v>-9999</v>
      </c>
    </row>
    <row r="1069" spans="1:33" x14ac:dyDescent="0.25">
      <c r="A1069" s="120">
        <v>1068</v>
      </c>
      <c r="B1069" s="120" t="b">
        <v>0</v>
      </c>
      <c r="C1069" s="120">
        <v>0</v>
      </c>
      <c r="D1069" s="61">
        <v>4</v>
      </c>
      <c r="E1069" s="120">
        <v>1</v>
      </c>
      <c r="F1069" s="120" t="s">
        <v>177</v>
      </c>
      <c r="G1069" s="55">
        <v>125</v>
      </c>
      <c r="H1069" s="120">
        <v>908</v>
      </c>
      <c r="I1069" s="57">
        <v>50</v>
      </c>
      <c r="J1069" s="120">
        <v>60</v>
      </c>
      <c r="K1069" s="120">
        <v>4</v>
      </c>
      <c r="L1069" s="120">
        <v>100</v>
      </c>
      <c r="M1069" s="120">
        <v>-9999</v>
      </c>
      <c r="N1069" s="120">
        <v>-9999</v>
      </c>
      <c r="O1069" s="120">
        <v>2</v>
      </c>
      <c r="P1069" s="120">
        <v>-9999</v>
      </c>
      <c r="Q1069" s="120">
        <v>122.59999847412099</v>
      </c>
      <c r="R1069" s="120">
        <v>99</v>
      </c>
      <c r="S1069" s="148">
        <v>10.8999996185303</v>
      </c>
      <c r="T1069" s="120">
        <v>-9999</v>
      </c>
      <c r="U1069" s="120">
        <v>15</v>
      </c>
      <c r="V1069" s="120">
        <v>-9999</v>
      </c>
      <c r="W1069" s="120">
        <v>-9999</v>
      </c>
      <c r="X1069" s="120">
        <v>-9999</v>
      </c>
      <c r="Y1069" s="120">
        <v>-9999</v>
      </c>
      <c r="Z1069" s="120">
        <v>-9999</v>
      </c>
      <c r="AA1069" s="120">
        <v>68</v>
      </c>
      <c r="AB1069" s="120">
        <v>14.5</v>
      </c>
      <c r="AC1069" s="120">
        <v>1068</v>
      </c>
      <c r="AD1069" s="120">
        <v>2340</v>
      </c>
      <c r="AE1069" s="120">
        <v>-9999</v>
      </c>
      <c r="AF1069" s="120">
        <v>-9999</v>
      </c>
      <c r="AG1069" s="120">
        <v>-9999</v>
      </c>
    </row>
    <row r="1070" spans="1:33" x14ac:dyDescent="0.25">
      <c r="A1070" s="120">
        <v>1069</v>
      </c>
      <c r="B1070" s="120" t="b">
        <v>0</v>
      </c>
      <c r="C1070" s="120">
        <v>0</v>
      </c>
      <c r="D1070" s="61">
        <v>4</v>
      </c>
      <c r="E1070" s="120">
        <v>1</v>
      </c>
      <c r="F1070" s="120" t="s">
        <v>178</v>
      </c>
      <c r="G1070" s="55">
        <v>150</v>
      </c>
      <c r="H1070" s="120">
        <v>1344</v>
      </c>
      <c r="I1070" s="57">
        <v>30</v>
      </c>
      <c r="J1070" s="120">
        <v>40</v>
      </c>
      <c r="K1070" s="120">
        <v>4</v>
      </c>
      <c r="L1070" s="120">
        <v>100</v>
      </c>
      <c r="M1070" s="120">
        <v>-9999</v>
      </c>
      <c r="N1070" s="120">
        <v>-9999</v>
      </c>
      <c r="O1070" s="120">
        <v>2</v>
      </c>
      <c r="P1070" s="120">
        <v>-9999</v>
      </c>
      <c r="Q1070" s="120">
        <v>135.5</v>
      </c>
      <c r="R1070" s="120">
        <v>108.699996948242</v>
      </c>
      <c r="S1070" s="148">
        <v>8.1000003814697301</v>
      </c>
      <c r="T1070" s="120">
        <v>-9999</v>
      </c>
      <c r="U1070" s="120">
        <v>15</v>
      </c>
      <c r="V1070" s="120">
        <v>-9999</v>
      </c>
      <c r="W1070" s="120">
        <v>-9999</v>
      </c>
      <c r="X1070" s="120">
        <v>-9999</v>
      </c>
      <c r="Y1070" s="120">
        <v>-9999</v>
      </c>
      <c r="Z1070" s="120">
        <v>-9999</v>
      </c>
      <c r="AA1070" s="120">
        <v>68</v>
      </c>
      <c r="AB1070" s="120">
        <v>14.5</v>
      </c>
      <c r="AC1070" s="120">
        <v>1069</v>
      </c>
      <c r="AD1070" s="120">
        <v>2341</v>
      </c>
      <c r="AE1070" s="120">
        <v>-9999</v>
      </c>
      <c r="AF1070" s="120">
        <v>-9999</v>
      </c>
      <c r="AG1070" s="120">
        <v>-9999</v>
      </c>
    </row>
    <row r="1071" spans="1:33" x14ac:dyDescent="0.25">
      <c r="A1071" s="120">
        <v>1070</v>
      </c>
      <c r="B1071" s="120" t="b">
        <v>0</v>
      </c>
      <c r="C1071" s="120">
        <v>0</v>
      </c>
      <c r="D1071" s="61">
        <v>4</v>
      </c>
      <c r="E1071" s="120">
        <v>1</v>
      </c>
      <c r="F1071" s="120" t="s">
        <v>178</v>
      </c>
      <c r="G1071" s="55">
        <v>150</v>
      </c>
      <c r="H1071" s="120">
        <v>1183</v>
      </c>
      <c r="I1071" s="57">
        <v>40</v>
      </c>
      <c r="J1071" s="120">
        <v>50</v>
      </c>
      <c r="K1071" s="120">
        <v>4</v>
      </c>
      <c r="L1071" s="120">
        <v>100</v>
      </c>
      <c r="M1071" s="120">
        <v>-9999</v>
      </c>
      <c r="N1071" s="120">
        <v>-9999</v>
      </c>
      <c r="O1071" s="120">
        <v>2</v>
      </c>
      <c r="P1071" s="120">
        <v>-9999</v>
      </c>
      <c r="Q1071" s="120">
        <v>142.60000610351599</v>
      </c>
      <c r="R1071" s="120">
        <v>114.40000152587901</v>
      </c>
      <c r="S1071" s="148">
        <v>9.6999998092651403</v>
      </c>
      <c r="T1071" s="120">
        <v>-9999</v>
      </c>
      <c r="U1071" s="120">
        <v>15</v>
      </c>
      <c r="V1071" s="120">
        <v>-9999</v>
      </c>
      <c r="W1071" s="120">
        <v>-9999</v>
      </c>
      <c r="X1071" s="120">
        <v>-9999</v>
      </c>
      <c r="Y1071" s="120">
        <v>-9999</v>
      </c>
      <c r="Z1071" s="120">
        <v>-9999</v>
      </c>
      <c r="AA1071" s="120">
        <v>68</v>
      </c>
      <c r="AB1071" s="120">
        <v>14.5</v>
      </c>
      <c r="AC1071" s="120">
        <v>1070</v>
      </c>
      <c r="AD1071" s="120">
        <v>2342</v>
      </c>
      <c r="AE1071" s="120">
        <v>-9999</v>
      </c>
      <c r="AF1071" s="120">
        <v>-9999</v>
      </c>
      <c r="AG1071" s="120">
        <v>-9999</v>
      </c>
    </row>
    <row r="1072" spans="1:33" x14ac:dyDescent="0.25">
      <c r="A1072" s="120">
        <v>1071</v>
      </c>
      <c r="B1072" s="120" t="b">
        <v>0</v>
      </c>
      <c r="C1072" s="120">
        <v>0</v>
      </c>
      <c r="D1072" s="61">
        <v>4</v>
      </c>
      <c r="E1072" s="120">
        <v>1</v>
      </c>
      <c r="F1072" s="120" t="s">
        <v>178</v>
      </c>
      <c r="G1072" s="55">
        <v>150</v>
      </c>
      <c r="H1072" s="120">
        <v>1066</v>
      </c>
      <c r="I1072" s="57">
        <v>50</v>
      </c>
      <c r="J1072" s="120">
        <v>60</v>
      </c>
      <c r="K1072" s="120">
        <v>4</v>
      </c>
      <c r="L1072" s="120">
        <v>100</v>
      </c>
      <c r="M1072" s="120">
        <v>-9999</v>
      </c>
      <c r="N1072" s="120">
        <v>-9999</v>
      </c>
      <c r="O1072" s="120">
        <v>2</v>
      </c>
      <c r="P1072" s="120">
        <v>-9999</v>
      </c>
      <c r="Q1072" s="120">
        <v>147.10000610351599</v>
      </c>
      <c r="R1072" s="120">
        <v>118</v>
      </c>
      <c r="S1072" s="148">
        <v>11.1000003814697</v>
      </c>
      <c r="T1072" s="120">
        <v>-9999</v>
      </c>
      <c r="U1072" s="120">
        <v>15</v>
      </c>
      <c r="V1072" s="120">
        <v>-9999</v>
      </c>
      <c r="W1072" s="120">
        <v>-9999</v>
      </c>
      <c r="X1072" s="120">
        <v>-9999</v>
      </c>
      <c r="Y1072" s="120">
        <v>-9999</v>
      </c>
      <c r="Z1072" s="120">
        <v>-9999</v>
      </c>
      <c r="AA1072" s="120">
        <v>68</v>
      </c>
      <c r="AB1072" s="120">
        <v>14.5</v>
      </c>
      <c r="AC1072" s="120">
        <v>1071</v>
      </c>
      <c r="AD1072" s="120">
        <v>2343</v>
      </c>
      <c r="AE1072" s="120">
        <v>-9999</v>
      </c>
      <c r="AF1072" s="120">
        <v>-9999</v>
      </c>
      <c r="AG1072" s="120">
        <v>-9999</v>
      </c>
    </row>
    <row r="1073" spans="1:33" x14ac:dyDescent="0.25">
      <c r="A1073" s="120">
        <v>1072</v>
      </c>
      <c r="B1073" s="120" t="b">
        <v>0</v>
      </c>
      <c r="C1073" s="120">
        <v>0</v>
      </c>
      <c r="D1073" s="61">
        <v>4</v>
      </c>
      <c r="E1073" s="120">
        <v>1</v>
      </c>
      <c r="F1073" s="120" t="s">
        <v>179</v>
      </c>
      <c r="G1073" s="55">
        <v>200</v>
      </c>
      <c r="H1073" s="120">
        <v>1727</v>
      </c>
      <c r="I1073" s="57">
        <v>30</v>
      </c>
      <c r="J1073" s="120">
        <v>40</v>
      </c>
      <c r="K1073" s="120">
        <v>4</v>
      </c>
      <c r="L1073" s="120">
        <v>100</v>
      </c>
      <c r="M1073" s="120">
        <v>-9999</v>
      </c>
      <c r="N1073" s="120">
        <v>-9999</v>
      </c>
      <c r="O1073" s="120">
        <v>2</v>
      </c>
      <c r="P1073" s="120">
        <v>-9999</v>
      </c>
      <c r="Q1073" s="120">
        <v>180.60000610351599</v>
      </c>
      <c r="R1073" s="120">
        <v>143.19999694824199</v>
      </c>
      <c r="S1073" s="148">
        <v>8.3000001907348597</v>
      </c>
      <c r="T1073" s="120">
        <v>-9999</v>
      </c>
      <c r="U1073" s="120">
        <v>15</v>
      </c>
      <c r="V1073" s="120">
        <v>-9999</v>
      </c>
      <c r="W1073" s="120">
        <v>-9999</v>
      </c>
      <c r="X1073" s="120">
        <v>-9999</v>
      </c>
      <c r="Y1073" s="120">
        <v>-9999</v>
      </c>
      <c r="Z1073" s="120">
        <v>-9999</v>
      </c>
      <c r="AA1073" s="120">
        <v>68</v>
      </c>
      <c r="AB1073" s="120">
        <v>14.5</v>
      </c>
      <c r="AC1073" s="120">
        <v>1072</v>
      </c>
      <c r="AD1073" s="120">
        <v>2344</v>
      </c>
      <c r="AE1073" s="120">
        <v>-9999</v>
      </c>
      <c r="AF1073" s="120">
        <v>-9999</v>
      </c>
      <c r="AG1073" s="120">
        <v>-9999</v>
      </c>
    </row>
    <row r="1074" spans="1:33" x14ac:dyDescent="0.25">
      <c r="A1074" s="120">
        <v>1073</v>
      </c>
      <c r="B1074" s="120" t="b">
        <v>0</v>
      </c>
      <c r="C1074" s="120">
        <v>0</v>
      </c>
      <c r="D1074" s="61">
        <v>4</v>
      </c>
      <c r="E1074" s="120">
        <v>1</v>
      </c>
      <c r="F1074" s="120" t="s">
        <v>179</v>
      </c>
      <c r="G1074" s="55">
        <v>200</v>
      </c>
      <c r="H1074" s="120">
        <v>1531</v>
      </c>
      <c r="I1074" s="57">
        <v>40</v>
      </c>
      <c r="J1074" s="120">
        <v>50</v>
      </c>
      <c r="K1074" s="120">
        <v>4</v>
      </c>
      <c r="L1074" s="120">
        <v>100</v>
      </c>
      <c r="M1074" s="120">
        <v>-9999</v>
      </c>
      <c r="N1074" s="120">
        <v>-9999</v>
      </c>
      <c r="O1074" s="120">
        <v>2</v>
      </c>
      <c r="P1074" s="120">
        <v>-9999</v>
      </c>
      <c r="Q1074" s="120">
        <v>190.10000610351599</v>
      </c>
      <c r="R1074" s="120">
        <v>150.69999694824199</v>
      </c>
      <c r="S1074" s="148">
        <v>9.8000001907348597</v>
      </c>
      <c r="T1074" s="120">
        <v>-9999</v>
      </c>
      <c r="U1074" s="120">
        <v>15</v>
      </c>
      <c r="V1074" s="120">
        <v>-9999</v>
      </c>
      <c r="W1074" s="120">
        <v>-9999</v>
      </c>
      <c r="X1074" s="120">
        <v>-9999</v>
      </c>
      <c r="Y1074" s="120">
        <v>-9999</v>
      </c>
      <c r="Z1074" s="120">
        <v>-9999</v>
      </c>
      <c r="AA1074" s="120">
        <v>68</v>
      </c>
      <c r="AB1074" s="120">
        <v>14.5</v>
      </c>
      <c r="AC1074" s="120">
        <v>1073</v>
      </c>
      <c r="AD1074" s="120">
        <v>2345</v>
      </c>
      <c r="AE1074" s="120">
        <v>-9999</v>
      </c>
      <c r="AF1074" s="120">
        <v>-9999</v>
      </c>
      <c r="AG1074" s="120">
        <v>-9999</v>
      </c>
    </row>
    <row r="1075" spans="1:33" x14ac:dyDescent="0.25">
      <c r="A1075" s="120">
        <v>1074</v>
      </c>
      <c r="B1075" s="120" t="b">
        <v>0</v>
      </c>
      <c r="C1075" s="120">
        <v>0</v>
      </c>
      <c r="D1075" s="61">
        <v>4</v>
      </c>
      <c r="E1075" s="120">
        <v>1</v>
      </c>
      <c r="F1075" s="120" t="s">
        <v>179</v>
      </c>
      <c r="G1075" s="55">
        <v>200</v>
      </c>
      <c r="H1075" s="120">
        <v>1387</v>
      </c>
      <c r="I1075" s="57">
        <v>50</v>
      </c>
      <c r="J1075" s="120">
        <v>60</v>
      </c>
      <c r="K1075" s="120">
        <v>4</v>
      </c>
      <c r="L1075" s="120">
        <v>100</v>
      </c>
      <c r="M1075" s="120">
        <v>-9999</v>
      </c>
      <c r="N1075" s="120">
        <v>-9999</v>
      </c>
      <c r="O1075" s="120">
        <v>2</v>
      </c>
      <c r="P1075" s="120">
        <v>-9999</v>
      </c>
      <c r="Q1075" s="120">
        <v>196.19999694824199</v>
      </c>
      <c r="R1075" s="120">
        <v>155.5</v>
      </c>
      <c r="S1075" s="148">
        <v>11.199999809265099</v>
      </c>
      <c r="T1075" s="120">
        <v>-9999</v>
      </c>
      <c r="U1075" s="120">
        <v>15</v>
      </c>
      <c r="V1075" s="120">
        <v>-9999</v>
      </c>
      <c r="W1075" s="120">
        <v>-9999</v>
      </c>
      <c r="X1075" s="120">
        <v>-9999</v>
      </c>
      <c r="Y1075" s="120">
        <v>-9999</v>
      </c>
      <c r="Z1075" s="120">
        <v>-9999</v>
      </c>
      <c r="AA1075" s="120">
        <v>68</v>
      </c>
      <c r="AB1075" s="120">
        <v>14.5</v>
      </c>
      <c r="AC1075" s="120">
        <v>1074</v>
      </c>
      <c r="AD1075" s="120">
        <v>2346</v>
      </c>
      <c r="AE1075" s="120">
        <v>-9999</v>
      </c>
      <c r="AF1075" s="120">
        <v>-9999</v>
      </c>
      <c r="AG1075" s="120">
        <v>-9999</v>
      </c>
    </row>
    <row r="1076" spans="1:33" x14ac:dyDescent="0.25">
      <c r="A1076" s="120">
        <v>1075</v>
      </c>
      <c r="B1076" s="120" t="b">
        <v>0</v>
      </c>
      <c r="C1076" s="120">
        <v>0</v>
      </c>
      <c r="D1076" s="61">
        <v>4</v>
      </c>
      <c r="E1076" s="120">
        <v>1</v>
      </c>
      <c r="F1076" s="120" t="s">
        <v>179</v>
      </c>
      <c r="G1076" s="55">
        <v>200</v>
      </c>
      <c r="H1076" s="120">
        <v>1277</v>
      </c>
      <c r="I1076" s="57">
        <v>60</v>
      </c>
      <c r="J1076" s="120">
        <v>70</v>
      </c>
      <c r="K1076" s="120">
        <v>4</v>
      </c>
      <c r="L1076" s="120">
        <v>100</v>
      </c>
      <c r="M1076" s="120">
        <v>-9999</v>
      </c>
      <c r="N1076" s="120">
        <v>-9999</v>
      </c>
      <c r="O1076" s="120">
        <v>2</v>
      </c>
      <c r="P1076" s="120">
        <v>-9999</v>
      </c>
      <c r="Q1076" s="120">
        <v>200.30000305175801</v>
      </c>
      <c r="R1076" s="120">
        <v>158.80000305175801</v>
      </c>
      <c r="S1076" s="148">
        <v>12.3999996185303</v>
      </c>
      <c r="T1076" s="120">
        <v>-9999</v>
      </c>
      <c r="U1076" s="120">
        <v>15</v>
      </c>
      <c r="V1076" s="120">
        <v>-9999</v>
      </c>
      <c r="W1076" s="120">
        <v>-9999</v>
      </c>
      <c r="X1076" s="120">
        <v>-9999</v>
      </c>
      <c r="Y1076" s="120">
        <v>-9999</v>
      </c>
      <c r="Z1076" s="120">
        <v>-9999</v>
      </c>
      <c r="AA1076" s="120">
        <v>68</v>
      </c>
      <c r="AB1076" s="120">
        <v>14.5</v>
      </c>
      <c r="AC1076" s="120">
        <v>1075</v>
      </c>
      <c r="AD1076" s="120">
        <v>2347</v>
      </c>
      <c r="AE1076" s="120">
        <v>-9999</v>
      </c>
      <c r="AF1076" s="120">
        <v>-9999</v>
      </c>
      <c r="AG1076" s="120">
        <v>-9999</v>
      </c>
    </row>
    <row r="1077" spans="1:33" x14ac:dyDescent="0.25">
      <c r="A1077" s="120">
        <v>1076</v>
      </c>
      <c r="B1077" s="120" t="b">
        <v>0</v>
      </c>
      <c r="C1077" s="120">
        <v>0</v>
      </c>
      <c r="D1077" s="61">
        <v>4</v>
      </c>
      <c r="E1077" s="120">
        <v>1</v>
      </c>
      <c r="F1077" s="120" t="s">
        <v>180</v>
      </c>
      <c r="G1077" s="55">
        <v>250</v>
      </c>
      <c r="H1077" s="120">
        <v>2158</v>
      </c>
      <c r="I1077" s="57">
        <v>30</v>
      </c>
      <c r="J1077" s="120">
        <v>40</v>
      </c>
      <c r="K1077" s="120">
        <v>4</v>
      </c>
      <c r="L1077" s="120">
        <v>100</v>
      </c>
      <c r="M1077" s="120">
        <v>-9999</v>
      </c>
      <c r="N1077" s="120">
        <v>-9999</v>
      </c>
      <c r="O1077" s="120">
        <v>2</v>
      </c>
      <c r="P1077" s="120">
        <v>-9999</v>
      </c>
      <c r="Q1077" s="120">
        <v>225.80000305175801</v>
      </c>
      <c r="R1077" s="120">
        <v>179.89999389648401</v>
      </c>
      <c r="S1077" s="148">
        <v>8.3000001907348597</v>
      </c>
      <c r="T1077" s="120">
        <v>-9999</v>
      </c>
      <c r="U1077" s="120">
        <v>15</v>
      </c>
      <c r="V1077" s="120">
        <v>-9999</v>
      </c>
      <c r="W1077" s="120">
        <v>-9999</v>
      </c>
      <c r="X1077" s="120">
        <v>-9999</v>
      </c>
      <c r="Y1077" s="120">
        <v>-9999</v>
      </c>
      <c r="Z1077" s="120">
        <v>-9999</v>
      </c>
      <c r="AA1077" s="120">
        <v>68</v>
      </c>
      <c r="AB1077" s="120">
        <v>14.5</v>
      </c>
      <c r="AC1077" s="120">
        <v>1076</v>
      </c>
      <c r="AD1077" s="120">
        <v>2348</v>
      </c>
      <c r="AE1077" s="120">
        <v>-9999</v>
      </c>
      <c r="AF1077" s="120">
        <v>-9999</v>
      </c>
      <c r="AG1077" s="120">
        <v>-9999</v>
      </c>
    </row>
    <row r="1078" spans="1:33" x14ac:dyDescent="0.25">
      <c r="A1078" s="120">
        <v>1077</v>
      </c>
      <c r="B1078" s="120" t="b">
        <v>0</v>
      </c>
      <c r="C1078" s="120">
        <v>0</v>
      </c>
      <c r="D1078" s="61">
        <v>4</v>
      </c>
      <c r="E1078" s="120">
        <v>1</v>
      </c>
      <c r="F1078" s="120" t="s">
        <v>180</v>
      </c>
      <c r="G1078" s="55">
        <v>250</v>
      </c>
      <c r="H1078" s="120">
        <v>1914</v>
      </c>
      <c r="I1078" s="57">
        <v>40</v>
      </c>
      <c r="J1078" s="120">
        <v>50</v>
      </c>
      <c r="K1078" s="120">
        <v>4</v>
      </c>
      <c r="L1078" s="120">
        <v>100</v>
      </c>
      <c r="M1078" s="120">
        <v>-9999</v>
      </c>
      <c r="N1078" s="120">
        <v>-9999</v>
      </c>
      <c r="O1078" s="120">
        <v>2</v>
      </c>
      <c r="P1078" s="120">
        <v>-9999</v>
      </c>
      <c r="Q1078" s="120">
        <v>237.69999694824199</v>
      </c>
      <c r="R1078" s="120">
        <v>189.39999389648401</v>
      </c>
      <c r="S1078" s="148">
        <v>9.8999996185302699</v>
      </c>
      <c r="T1078" s="120">
        <v>-9999</v>
      </c>
      <c r="U1078" s="120">
        <v>15</v>
      </c>
      <c r="V1078" s="120">
        <v>-9999</v>
      </c>
      <c r="W1078" s="120">
        <v>-9999</v>
      </c>
      <c r="X1078" s="120">
        <v>-9999</v>
      </c>
      <c r="Y1078" s="120">
        <v>-9999</v>
      </c>
      <c r="Z1078" s="120">
        <v>-9999</v>
      </c>
      <c r="AA1078" s="120">
        <v>68</v>
      </c>
      <c r="AB1078" s="120">
        <v>14.5</v>
      </c>
      <c r="AC1078" s="120">
        <v>1077</v>
      </c>
      <c r="AD1078" s="120">
        <v>2349</v>
      </c>
      <c r="AE1078" s="120">
        <v>-9999</v>
      </c>
      <c r="AF1078" s="120">
        <v>-9999</v>
      </c>
      <c r="AG1078" s="120">
        <v>-9999</v>
      </c>
    </row>
    <row r="1079" spans="1:33" x14ac:dyDescent="0.25">
      <c r="A1079" s="120">
        <v>1078</v>
      </c>
      <c r="B1079" s="120" t="b">
        <v>0</v>
      </c>
      <c r="C1079" s="120">
        <v>0</v>
      </c>
      <c r="D1079" s="61">
        <v>4</v>
      </c>
      <c r="E1079" s="120">
        <v>1</v>
      </c>
      <c r="F1079" s="120" t="s">
        <v>180</v>
      </c>
      <c r="G1079" s="55">
        <v>250</v>
      </c>
      <c r="H1079" s="120">
        <v>1734</v>
      </c>
      <c r="I1079" s="57">
        <v>50</v>
      </c>
      <c r="J1079" s="120">
        <v>60</v>
      </c>
      <c r="K1079" s="120">
        <v>4</v>
      </c>
      <c r="L1079" s="120">
        <v>100</v>
      </c>
      <c r="M1079" s="120">
        <v>-9999</v>
      </c>
      <c r="N1079" s="120">
        <v>-9999</v>
      </c>
      <c r="O1079" s="120">
        <v>2</v>
      </c>
      <c r="P1079" s="120">
        <v>-9999</v>
      </c>
      <c r="Q1079" s="120">
        <v>245.19999694824199</v>
      </c>
      <c r="R1079" s="120">
        <v>195.39999389648401</v>
      </c>
      <c r="S1079" s="148">
        <v>11.300000190734901</v>
      </c>
      <c r="T1079" s="120">
        <v>-9999</v>
      </c>
      <c r="U1079" s="120">
        <v>15</v>
      </c>
      <c r="V1079" s="120">
        <v>-9999</v>
      </c>
      <c r="W1079" s="120">
        <v>-9999</v>
      </c>
      <c r="X1079" s="120">
        <v>-9999</v>
      </c>
      <c r="Y1079" s="120">
        <v>-9999</v>
      </c>
      <c r="Z1079" s="120">
        <v>-9999</v>
      </c>
      <c r="AA1079" s="120">
        <v>68</v>
      </c>
      <c r="AB1079" s="120">
        <v>14.5</v>
      </c>
      <c r="AC1079" s="120">
        <v>1078</v>
      </c>
      <c r="AD1079" s="120">
        <v>2350</v>
      </c>
      <c r="AE1079" s="120">
        <v>-9999</v>
      </c>
      <c r="AF1079" s="120">
        <v>-9999</v>
      </c>
      <c r="AG1079" s="120">
        <v>-9999</v>
      </c>
    </row>
    <row r="1080" spans="1:33" x14ac:dyDescent="0.25">
      <c r="A1080" s="120">
        <v>1079</v>
      </c>
      <c r="B1080" s="120" t="b">
        <v>0</v>
      </c>
      <c r="C1080" s="120">
        <v>0</v>
      </c>
      <c r="D1080" s="61">
        <v>4</v>
      </c>
      <c r="E1080" s="120">
        <v>1</v>
      </c>
      <c r="F1080" s="120" t="s">
        <v>180</v>
      </c>
      <c r="G1080" s="55">
        <v>250</v>
      </c>
      <c r="H1080" s="120">
        <v>1597</v>
      </c>
      <c r="I1080" s="57">
        <v>60</v>
      </c>
      <c r="J1080" s="120">
        <v>70</v>
      </c>
      <c r="K1080" s="120">
        <v>4</v>
      </c>
      <c r="L1080" s="120">
        <v>100</v>
      </c>
      <c r="M1080" s="120">
        <v>-9999</v>
      </c>
      <c r="N1080" s="120">
        <v>-9999</v>
      </c>
      <c r="O1080" s="120">
        <v>2</v>
      </c>
      <c r="P1080" s="120">
        <v>-9999</v>
      </c>
      <c r="Q1080" s="120">
        <v>250.39999389648401</v>
      </c>
      <c r="R1080" s="120">
        <v>199.5</v>
      </c>
      <c r="S1080" s="148">
        <v>12.5</v>
      </c>
      <c r="T1080" s="120">
        <v>-9999</v>
      </c>
      <c r="U1080" s="120">
        <v>15</v>
      </c>
      <c r="V1080" s="120">
        <v>-9999</v>
      </c>
      <c r="W1080" s="120">
        <v>-9999</v>
      </c>
      <c r="X1080" s="120">
        <v>-9999</v>
      </c>
      <c r="Y1080" s="120">
        <v>-9999</v>
      </c>
      <c r="Z1080" s="120">
        <v>-9999</v>
      </c>
      <c r="AA1080" s="120">
        <v>68</v>
      </c>
      <c r="AB1080" s="120">
        <v>14.5</v>
      </c>
      <c r="AC1080" s="120">
        <v>1079</v>
      </c>
      <c r="AD1080" s="120">
        <v>2351</v>
      </c>
      <c r="AE1080" s="120">
        <v>-9999</v>
      </c>
      <c r="AF1080" s="120">
        <v>-9999</v>
      </c>
      <c r="AG1080" s="120">
        <v>-9999</v>
      </c>
    </row>
    <row r="1081" spans="1:33" x14ac:dyDescent="0.25">
      <c r="A1081" s="120">
        <v>1080</v>
      </c>
      <c r="B1081" s="120" t="b">
        <v>0</v>
      </c>
      <c r="C1081" s="120">
        <v>0</v>
      </c>
      <c r="D1081" s="61">
        <v>4</v>
      </c>
      <c r="E1081" s="120">
        <v>1</v>
      </c>
      <c r="F1081" s="120" t="s">
        <v>181</v>
      </c>
      <c r="G1081" s="55">
        <v>300</v>
      </c>
      <c r="H1081" s="120">
        <v>2583</v>
      </c>
      <c r="I1081" s="57">
        <v>30</v>
      </c>
      <c r="J1081" s="120">
        <v>40</v>
      </c>
      <c r="K1081" s="120">
        <v>4</v>
      </c>
      <c r="L1081" s="120">
        <v>100</v>
      </c>
      <c r="M1081" s="120">
        <v>-9999</v>
      </c>
      <c r="N1081" s="120">
        <v>-9999</v>
      </c>
      <c r="O1081" s="120">
        <v>2</v>
      </c>
      <c r="P1081" s="120">
        <v>-9999</v>
      </c>
      <c r="Q1081" s="120">
        <v>270.89999389648398</v>
      </c>
      <c r="R1081" s="120">
        <v>214.80000305175801</v>
      </c>
      <c r="S1081" s="148">
        <v>8.3000001907348597</v>
      </c>
      <c r="T1081" s="120">
        <v>-9999</v>
      </c>
      <c r="U1081" s="120">
        <v>15</v>
      </c>
      <c r="V1081" s="120">
        <v>-9999</v>
      </c>
      <c r="W1081" s="120">
        <v>-9999</v>
      </c>
      <c r="X1081" s="120">
        <v>-9999</v>
      </c>
      <c r="Y1081" s="120">
        <v>-9999</v>
      </c>
      <c r="Z1081" s="120">
        <v>-9999</v>
      </c>
      <c r="AA1081" s="120">
        <v>68</v>
      </c>
      <c r="AB1081" s="120">
        <v>14.5</v>
      </c>
      <c r="AC1081" s="120">
        <v>1080</v>
      </c>
      <c r="AD1081" s="120">
        <v>2352</v>
      </c>
      <c r="AE1081" s="120">
        <v>-9999</v>
      </c>
      <c r="AF1081" s="120">
        <v>-9999</v>
      </c>
      <c r="AG1081" s="120">
        <v>-9999</v>
      </c>
    </row>
    <row r="1082" spans="1:33" x14ac:dyDescent="0.25">
      <c r="A1082" s="120">
        <v>1081</v>
      </c>
      <c r="B1082" s="120" t="b">
        <v>0</v>
      </c>
      <c r="C1082" s="120">
        <v>0</v>
      </c>
      <c r="D1082" s="61">
        <v>4</v>
      </c>
      <c r="E1082" s="120">
        <v>1</v>
      </c>
      <c r="F1082" s="120" t="s">
        <v>181</v>
      </c>
      <c r="G1082" s="55">
        <v>300</v>
      </c>
      <c r="H1082" s="120">
        <v>2287</v>
      </c>
      <c r="I1082" s="57">
        <v>40</v>
      </c>
      <c r="J1082" s="120">
        <v>50</v>
      </c>
      <c r="K1082" s="120">
        <v>4</v>
      </c>
      <c r="L1082" s="120">
        <v>100</v>
      </c>
      <c r="M1082" s="120">
        <v>-9999</v>
      </c>
      <c r="N1082" s="120">
        <v>-9999</v>
      </c>
      <c r="O1082" s="120">
        <v>2</v>
      </c>
      <c r="P1082" s="120">
        <v>-9999</v>
      </c>
      <c r="Q1082" s="120">
        <v>285.20001220703102</v>
      </c>
      <c r="R1082" s="120">
        <v>226.10000610351599</v>
      </c>
      <c r="S1082" s="148">
        <v>9.8999996185302699</v>
      </c>
      <c r="T1082" s="120">
        <v>-9999</v>
      </c>
      <c r="U1082" s="120">
        <v>15</v>
      </c>
      <c r="V1082" s="120">
        <v>-9999</v>
      </c>
      <c r="W1082" s="120">
        <v>-9999</v>
      </c>
      <c r="X1082" s="120">
        <v>-9999</v>
      </c>
      <c r="Y1082" s="120">
        <v>-9999</v>
      </c>
      <c r="Z1082" s="120">
        <v>-9999</v>
      </c>
      <c r="AA1082" s="120">
        <v>68</v>
      </c>
      <c r="AB1082" s="120">
        <v>14.5</v>
      </c>
      <c r="AC1082" s="120">
        <v>1081</v>
      </c>
      <c r="AD1082" s="120">
        <v>2353</v>
      </c>
      <c r="AE1082" s="120">
        <v>-9999</v>
      </c>
      <c r="AF1082" s="120">
        <v>-9999</v>
      </c>
      <c r="AG1082" s="120">
        <v>-9999</v>
      </c>
    </row>
    <row r="1083" spans="1:33" x14ac:dyDescent="0.25">
      <c r="A1083" s="120">
        <v>1082</v>
      </c>
      <c r="B1083" s="120" t="b">
        <v>0</v>
      </c>
      <c r="C1083" s="120">
        <v>0</v>
      </c>
      <c r="D1083" s="61">
        <v>4</v>
      </c>
      <c r="E1083" s="120">
        <v>1</v>
      </c>
      <c r="F1083" s="120" t="s">
        <v>181</v>
      </c>
      <c r="G1083" s="55">
        <v>300</v>
      </c>
      <c r="H1083" s="120">
        <v>2072</v>
      </c>
      <c r="I1083" s="57">
        <v>50</v>
      </c>
      <c r="J1083" s="120">
        <v>60</v>
      </c>
      <c r="K1083" s="120">
        <v>4</v>
      </c>
      <c r="L1083" s="120">
        <v>100</v>
      </c>
      <c r="M1083" s="120">
        <v>-9999</v>
      </c>
      <c r="N1083" s="120">
        <v>-9999</v>
      </c>
      <c r="O1083" s="120">
        <v>2</v>
      </c>
      <c r="P1083" s="120">
        <v>-9999</v>
      </c>
      <c r="Q1083" s="120">
        <v>294.29998779296898</v>
      </c>
      <c r="R1083" s="120">
        <v>233.30000305175801</v>
      </c>
      <c r="S1083" s="148">
        <v>11.300000190734901</v>
      </c>
      <c r="T1083" s="120">
        <v>-9999</v>
      </c>
      <c r="U1083" s="120">
        <v>15</v>
      </c>
      <c r="V1083" s="120">
        <v>-9999</v>
      </c>
      <c r="W1083" s="120">
        <v>-9999</v>
      </c>
      <c r="X1083" s="120">
        <v>-9999</v>
      </c>
      <c r="Y1083" s="120">
        <v>-9999</v>
      </c>
      <c r="Z1083" s="120">
        <v>-9999</v>
      </c>
      <c r="AA1083" s="120">
        <v>68</v>
      </c>
      <c r="AB1083" s="120">
        <v>14.5</v>
      </c>
      <c r="AC1083" s="120">
        <v>1082</v>
      </c>
      <c r="AD1083" s="120">
        <v>2354</v>
      </c>
      <c r="AE1083" s="120">
        <v>-9999</v>
      </c>
      <c r="AF1083" s="120">
        <v>-9999</v>
      </c>
      <c r="AG1083" s="120">
        <v>-9999</v>
      </c>
    </row>
    <row r="1084" spans="1:33" x14ac:dyDescent="0.25">
      <c r="A1084" s="120">
        <v>1083</v>
      </c>
      <c r="B1084" s="120" t="b">
        <v>0</v>
      </c>
      <c r="C1084" s="120">
        <v>0</v>
      </c>
      <c r="D1084" s="61">
        <v>4</v>
      </c>
      <c r="E1084" s="120">
        <v>1</v>
      </c>
      <c r="F1084" s="120" t="s">
        <v>181</v>
      </c>
      <c r="G1084" s="55">
        <v>300</v>
      </c>
      <c r="H1084" s="120">
        <v>1905</v>
      </c>
      <c r="I1084" s="57">
        <v>60</v>
      </c>
      <c r="J1084" s="120">
        <v>70</v>
      </c>
      <c r="K1084" s="120">
        <v>4</v>
      </c>
      <c r="L1084" s="120">
        <v>100</v>
      </c>
      <c r="M1084" s="120">
        <v>-9999</v>
      </c>
      <c r="N1084" s="120">
        <v>-9999</v>
      </c>
      <c r="O1084" s="120">
        <v>2</v>
      </c>
      <c r="P1084" s="120">
        <v>-9999</v>
      </c>
      <c r="Q1084" s="120">
        <v>300.39999389648398</v>
      </c>
      <c r="R1084" s="120">
        <v>238.19999694824199</v>
      </c>
      <c r="S1084" s="148">
        <v>12.5</v>
      </c>
      <c r="T1084" s="120">
        <v>-9999</v>
      </c>
      <c r="U1084" s="120">
        <v>15</v>
      </c>
      <c r="V1084" s="120">
        <v>-9999</v>
      </c>
      <c r="W1084" s="120">
        <v>-9999</v>
      </c>
      <c r="X1084" s="120">
        <v>-9999</v>
      </c>
      <c r="Y1084" s="120">
        <v>-9999</v>
      </c>
      <c r="Z1084" s="120">
        <v>-9999</v>
      </c>
      <c r="AA1084" s="120">
        <v>68</v>
      </c>
      <c r="AB1084" s="120">
        <v>14.5</v>
      </c>
      <c r="AC1084" s="120">
        <v>1083</v>
      </c>
      <c r="AD1084" s="120">
        <v>2355</v>
      </c>
      <c r="AE1084" s="120">
        <v>-9999</v>
      </c>
      <c r="AF1084" s="120">
        <v>-9999</v>
      </c>
      <c r="AG1084" s="120">
        <v>-9999</v>
      </c>
    </row>
    <row r="1085" spans="1:33" x14ac:dyDescent="0.25">
      <c r="A1085" s="120">
        <v>1084</v>
      </c>
      <c r="B1085" s="120" t="b">
        <v>0</v>
      </c>
      <c r="C1085" s="120">
        <v>0</v>
      </c>
      <c r="D1085" s="61">
        <v>4</v>
      </c>
      <c r="E1085" s="120">
        <v>1</v>
      </c>
      <c r="F1085" s="120" t="s">
        <v>182</v>
      </c>
      <c r="G1085" s="55">
        <v>350</v>
      </c>
      <c r="H1085" s="120">
        <v>3013</v>
      </c>
      <c r="I1085" s="57">
        <v>30</v>
      </c>
      <c r="J1085" s="120">
        <v>40</v>
      </c>
      <c r="K1085" s="120">
        <v>4</v>
      </c>
      <c r="L1085" s="120">
        <v>100</v>
      </c>
      <c r="M1085" s="120">
        <v>-9999</v>
      </c>
      <c r="N1085" s="120">
        <v>-9999</v>
      </c>
      <c r="O1085" s="120">
        <v>2</v>
      </c>
      <c r="P1085" s="120">
        <v>-9999</v>
      </c>
      <c r="Q1085" s="120">
        <v>316.10000610351602</v>
      </c>
      <c r="R1085" s="120">
        <v>249.5</v>
      </c>
      <c r="S1085" s="148">
        <v>8.3000001907348597</v>
      </c>
      <c r="T1085" s="120">
        <v>-9999</v>
      </c>
      <c r="U1085" s="120">
        <v>15</v>
      </c>
      <c r="V1085" s="120">
        <v>-9999</v>
      </c>
      <c r="W1085" s="120">
        <v>-9999</v>
      </c>
      <c r="X1085" s="120">
        <v>-9999</v>
      </c>
      <c r="Y1085" s="120">
        <v>-9999</v>
      </c>
      <c r="Z1085" s="120">
        <v>-9999</v>
      </c>
      <c r="AA1085" s="120">
        <v>68</v>
      </c>
      <c r="AB1085" s="120">
        <v>14.5</v>
      </c>
      <c r="AC1085" s="120">
        <v>1084</v>
      </c>
      <c r="AD1085" s="120">
        <v>2356</v>
      </c>
      <c r="AE1085" s="120">
        <v>-9999</v>
      </c>
      <c r="AF1085" s="120">
        <v>-9999</v>
      </c>
      <c r="AG1085" s="120">
        <v>-9999</v>
      </c>
    </row>
    <row r="1086" spans="1:33" x14ac:dyDescent="0.25">
      <c r="A1086" s="120">
        <v>1085</v>
      </c>
      <c r="B1086" s="120" t="b">
        <v>0</v>
      </c>
      <c r="C1086" s="120">
        <v>0</v>
      </c>
      <c r="D1086" s="61">
        <v>4</v>
      </c>
      <c r="E1086" s="120">
        <v>1</v>
      </c>
      <c r="F1086" s="120" t="s">
        <v>182</v>
      </c>
      <c r="G1086" s="55">
        <v>350</v>
      </c>
      <c r="H1086" s="120">
        <v>2668</v>
      </c>
      <c r="I1086" s="57">
        <v>40</v>
      </c>
      <c r="J1086" s="120">
        <v>50</v>
      </c>
      <c r="K1086" s="120">
        <v>4</v>
      </c>
      <c r="L1086" s="120">
        <v>100</v>
      </c>
      <c r="M1086" s="120">
        <v>-9999</v>
      </c>
      <c r="N1086" s="120">
        <v>-9999</v>
      </c>
      <c r="O1086" s="120">
        <v>2</v>
      </c>
      <c r="P1086" s="120">
        <v>-9999</v>
      </c>
      <c r="Q1086" s="120">
        <v>332.79998779296898</v>
      </c>
      <c r="R1086" s="120">
        <v>262.70001220703102</v>
      </c>
      <c r="S1086" s="148">
        <v>9.8000001907348597</v>
      </c>
      <c r="T1086" s="120">
        <v>-9999</v>
      </c>
      <c r="U1086" s="120">
        <v>15</v>
      </c>
      <c r="V1086" s="120">
        <v>-9999</v>
      </c>
      <c r="W1086" s="120">
        <v>-9999</v>
      </c>
      <c r="X1086" s="120">
        <v>-9999</v>
      </c>
      <c r="Y1086" s="120">
        <v>-9999</v>
      </c>
      <c r="Z1086" s="120">
        <v>-9999</v>
      </c>
      <c r="AA1086" s="120">
        <v>68</v>
      </c>
      <c r="AB1086" s="120">
        <v>14.5</v>
      </c>
      <c r="AC1086" s="120">
        <v>1085</v>
      </c>
      <c r="AD1086" s="120">
        <v>2357</v>
      </c>
      <c r="AE1086" s="120">
        <v>-9999</v>
      </c>
      <c r="AF1086" s="120">
        <v>-9999</v>
      </c>
      <c r="AG1086" s="120">
        <v>-9999</v>
      </c>
    </row>
    <row r="1087" spans="1:33" x14ac:dyDescent="0.25">
      <c r="A1087" s="120">
        <v>1086</v>
      </c>
      <c r="B1087" s="120" t="b">
        <v>0</v>
      </c>
      <c r="C1087" s="120">
        <v>0</v>
      </c>
      <c r="D1087" s="61">
        <v>4</v>
      </c>
      <c r="E1087" s="120">
        <v>1</v>
      </c>
      <c r="F1087" s="120" t="s">
        <v>182</v>
      </c>
      <c r="G1087" s="55">
        <v>350</v>
      </c>
      <c r="H1087" s="120">
        <v>2418</v>
      </c>
      <c r="I1087" s="57">
        <v>50</v>
      </c>
      <c r="J1087" s="120">
        <v>60</v>
      </c>
      <c r="K1087" s="120">
        <v>4</v>
      </c>
      <c r="L1087" s="120">
        <v>100</v>
      </c>
      <c r="M1087" s="120">
        <v>-9999</v>
      </c>
      <c r="N1087" s="120">
        <v>-9999</v>
      </c>
      <c r="O1087" s="120">
        <v>2</v>
      </c>
      <c r="P1087" s="120">
        <v>-9999</v>
      </c>
      <c r="Q1087" s="120">
        <v>343.29998779296898</v>
      </c>
      <c r="R1087" s="120">
        <v>271</v>
      </c>
      <c r="S1087" s="148">
        <v>11.199999809265099</v>
      </c>
      <c r="T1087" s="120">
        <v>-9999</v>
      </c>
      <c r="U1087" s="120">
        <v>15</v>
      </c>
      <c r="V1087" s="120">
        <v>-9999</v>
      </c>
      <c r="W1087" s="120">
        <v>-9999</v>
      </c>
      <c r="X1087" s="120">
        <v>-9999</v>
      </c>
      <c r="Y1087" s="120">
        <v>-9999</v>
      </c>
      <c r="Z1087" s="120">
        <v>-9999</v>
      </c>
      <c r="AA1087" s="120">
        <v>68</v>
      </c>
      <c r="AB1087" s="120">
        <v>14.5</v>
      </c>
      <c r="AC1087" s="120">
        <v>1086</v>
      </c>
      <c r="AD1087" s="120">
        <v>2358</v>
      </c>
      <c r="AE1087" s="120">
        <v>-9999</v>
      </c>
      <c r="AF1087" s="120">
        <v>-9999</v>
      </c>
      <c r="AG1087" s="120">
        <v>-9999</v>
      </c>
    </row>
    <row r="1088" spans="1:33" x14ac:dyDescent="0.25">
      <c r="A1088" s="120">
        <v>1087</v>
      </c>
      <c r="B1088" s="120" t="b">
        <v>0</v>
      </c>
      <c r="C1088" s="120">
        <v>0</v>
      </c>
      <c r="D1088" s="61">
        <v>4</v>
      </c>
      <c r="E1088" s="120">
        <v>1</v>
      </c>
      <c r="F1088" s="120" t="s">
        <v>182</v>
      </c>
      <c r="G1088" s="55">
        <v>350</v>
      </c>
      <c r="H1088" s="120">
        <v>2223</v>
      </c>
      <c r="I1088" s="57">
        <v>60</v>
      </c>
      <c r="J1088" s="120">
        <v>70</v>
      </c>
      <c r="K1088" s="120">
        <v>4</v>
      </c>
      <c r="L1088" s="120">
        <v>100</v>
      </c>
      <c r="M1088" s="120">
        <v>-9999</v>
      </c>
      <c r="N1088" s="120">
        <v>-9999</v>
      </c>
      <c r="O1088" s="120">
        <v>2</v>
      </c>
      <c r="P1088" s="120">
        <v>-9999</v>
      </c>
      <c r="Q1088" s="120">
        <v>350.5</v>
      </c>
      <c r="R1088" s="120">
        <v>276.70001220703102</v>
      </c>
      <c r="S1088" s="148">
        <v>12.3999996185303</v>
      </c>
      <c r="T1088" s="120">
        <v>-9999</v>
      </c>
      <c r="U1088" s="120">
        <v>15</v>
      </c>
      <c r="V1088" s="120">
        <v>-9999</v>
      </c>
      <c r="W1088" s="120">
        <v>-9999</v>
      </c>
      <c r="X1088" s="120">
        <v>-9999</v>
      </c>
      <c r="Y1088" s="120">
        <v>-9999</v>
      </c>
      <c r="Z1088" s="120">
        <v>-9999</v>
      </c>
      <c r="AA1088" s="120">
        <v>68</v>
      </c>
      <c r="AB1088" s="120">
        <v>14.5</v>
      </c>
      <c r="AC1088" s="120">
        <v>1087</v>
      </c>
      <c r="AD1088" s="120">
        <v>2359</v>
      </c>
      <c r="AE1088" s="120">
        <v>-9999</v>
      </c>
      <c r="AF1088" s="120">
        <v>-9999</v>
      </c>
      <c r="AG1088" s="120">
        <v>-9999</v>
      </c>
    </row>
    <row r="1089" spans="1:33" x14ac:dyDescent="0.25">
      <c r="A1089" s="120">
        <v>1088</v>
      </c>
      <c r="B1089" s="120" t="b">
        <v>0</v>
      </c>
      <c r="C1089" s="120">
        <v>0</v>
      </c>
      <c r="D1089" s="61">
        <v>5</v>
      </c>
      <c r="E1089" s="120">
        <v>1</v>
      </c>
      <c r="F1089" s="120" t="s">
        <v>165</v>
      </c>
      <c r="G1089" s="55">
        <v>5</v>
      </c>
      <c r="H1089" s="120">
        <v>27</v>
      </c>
      <c r="I1089" s="57">
        <v>80</v>
      </c>
      <c r="J1089" s="120">
        <v>90</v>
      </c>
      <c r="K1089" s="120">
        <v>4</v>
      </c>
      <c r="L1089" s="120">
        <v>100</v>
      </c>
      <c r="M1089" s="120">
        <v>-9999</v>
      </c>
      <c r="N1089" s="120">
        <v>-9999</v>
      </c>
      <c r="O1089" s="120">
        <v>2</v>
      </c>
      <c r="P1089" s="120">
        <v>-9999</v>
      </c>
      <c r="Q1089" s="120">
        <v>5.3000001907348597</v>
      </c>
      <c r="R1089" s="120">
        <v>4.5999999046325701</v>
      </c>
      <c r="S1089" s="148">
        <v>17.100000381469702</v>
      </c>
      <c r="T1089" s="120">
        <v>-9999</v>
      </c>
      <c r="U1089" s="120">
        <v>15</v>
      </c>
      <c r="V1089" s="120">
        <v>-9999</v>
      </c>
      <c r="W1089" s="120">
        <v>-9999</v>
      </c>
      <c r="X1089" s="120">
        <v>-9999</v>
      </c>
      <c r="Y1089" s="120">
        <v>-9999</v>
      </c>
      <c r="Z1089" s="120">
        <v>-9999</v>
      </c>
      <c r="AA1089" s="120">
        <v>68</v>
      </c>
      <c r="AB1089" s="120">
        <v>14.5</v>
      </c>
      <c r="AC1089" s="120">
        <v>1088</v>
      </c>
      <c r="AD1089" s="120">
        <v>2360</v>
      </c>
      <c r="AE1089" s="120">
        <v>-9999</v>
      </c>
      <c r="AF1089" s="120">
        <v>-9999</v>
      </c>
      <c r="AG1089" s="120">
        <v>-9999</v>
      </c>
    </row>
    <row r="1090" spans="1:33" x14ac:dyDescent="0.25">
      <c r="A1090" s="120">
        <v>1089</v>
      </c>
      <c r="B1090" s="120" t="b">
        <v>0</v>
      </c>
      <c r="C1090" s="120">
        <v>0</v>
      </c>
      <c r="D1090" s="61">
        <v>5</v>
      </c>
      <c r="E1090" s="120">
        <v>1</v>
      </c>
      <c r="F1090" s="120" t="s">
        <v>165</v>
      </c>
      <c r="G1090" s="55">
        <v>5</v>
      </c>
      <c r="H1090" s="120">
        <v>25</v>
      </c>
      <c r="I1090" s="57">
        <v>100</v>
      </c>
      <c r="J1090" s="120">
        <v>110</v>
      </c>
      <c r="K1090" s="120">
        <v>4</v>
      </c>
      <c r="L1090" s="120">
        <v>100</v>
      </c>
      <c r="M1090" s="120">
        <v>-9999</v>
      </c>
      <c r="N1090" s="120">
        <v>-9999</v>
      </c>
      <c r="O1090" s="120">
        <v>2</v>
      </c>
      <c r="P1090" s="120">
        <v>-9999</v>
      </c>
      <c r="Q1090" s="120">
        <v>5.3000001907348597</v>
      </c>
      <c r="R1090" s="120">
        <v>4.5999999046325701</v>
      </c>
      <c r="S1090" s="148">
        <v>18.600000381469702</v>
      </c>
      <c r="T1090" s="120">
        <v>-9999</v>
      </c>
      <c r="U1090" s="120">
        <v>15</v>
      </c>
      <c r="V1090" s="120">
        <v>-9999</v>
      </c>
      <c r="W1090" s="120">
        <v>-9999</v>
      </c>
      <c r="X1090" s="120">
        <v>-9999</v>
      </c>
      <c r="Y1090" s="120">
        <v>-9999</v>
      </c>
      <c r="Z1090" s="120">
        <v>-9999</v>
      </c>
      <c r="AA1090" s="120">
        <v>68</v>
      </c>
      <c r="AB1090" s="120">
        <v>14.5</v>
      </c>
      <c r="AC1090" s="120">
        <v>1089</v>
      </c>
      <c r="AD1090" s="120">
        <v>2361</v>
      </c>
      <c r="AE1090" s="120">
        <v>-9999</v>
      </c>
      <c r="AF1090" s="120">
        <v>-9999</v>
      </c>
      <c r="AG1090" s="120">
        <v>-9999</v>
      </c>
    </row>
    <row r="1091" spans="1:33" x14ac:dyDescent="0.25">
      <c r="A1091" s="120">
        <v>1090</v>
      </c>
      <c r="B1091" s="120" t="b">
        <v>0</v>
      </c>
      <c r="C1091" s="120">
        <v>0</v>
      </c>
      <c r="D1091" s="61">
        <v>5</v>
      </c>
      <c r="E1091" s="120">
        <v>1</v>
      </c>
      <c r="F1091" s="120" t="s">
        <v>165</v>
      </c>
      <c r="G1091" s="55">
        <v>5</v>
      </c>
      <c r="H1091" s="120">
        <v>24</v>
      </c>
      <c r="I1091" s="57">
        <v>110</v>
      </c>
      <c r="J1091" s="120">
        <v>120</v>
      </c>
      <c r="K1091" s="120">
        <v>4</v>
      </c>
      <c r="L1091" s="120">
        <v>100</v>
      </c>
      <c r="M1091" s="120">
        <v>-9999</v>
      </c>
      <c r="N1091" s="120">
        <v>-9999</v>
      </c>
      <c r="O1091" s="120">
        <v>2</v>
      </c>
      <c r="P1091" s="120">
        <v>-9999</v>
      </c>
      <c r="Q1091" s="120">
        <v>5.3000001907348597</v>
      </c>
      <c r="R1091" s="120">
        <v>4.5999999046325701</v>
      </c>
      <c r="S1091" s="148">
        <v>19.5</v>
      </c>
      <c r="T1091" s="120">
        <v>-9999</v>
      </c>
      <c r="U1091" s="120">
        <v>15</v>
      </c>
      <c r="V1091" s="120">
        <v>-9999</v>
      </c>
      <c r="W1091" s="120">
        <v>-9999</v>
      </c>
      <c r="X1091" s="120">
        <v>-9999</v>
      </c>
      <c r="Y1091" s="120">
        <v>-9999</v>
      </c>
      <c r="Z1091" s="120">
        <v>-9999</v>
      </c>
      <c r="AA1091" s="120">
        <v>68</v>
      </c>
      <c r="AB1091" s="120">
        <v>14.5</v>
      </c>
      <c r="AC1091" s="120">
        <v>1090</v>
      </c>
      <c r="AD1091" s="120">
        <v>2362</v>
      </c>
      <c r="AE1091" s="120">
        <v>-9999</v>
      </c>
      <c r="AF1091" s="120">
        <v>-9999</v>
      </c>
      <c r="AG1091" s="120">
        <v>-9999</v>
      </c>
    </row>
    <row r="1092" spans="1:33" x14ac:dyDescent="0.25">
      <c r="A1092" s="120">
        <v>1091</v>
      </c>
      <c r="B1092" s="120" t="b">
        <v>0</v>
      </c>
      <c r="C1092" s="120">
        <v>0</v>
      </c>
      <c r="D1092" s="61">
        <v>5</v>
      </c>
      <c r="E1092" s="120">
        <v>1</v>
      </c>
      <c r="F1092" s="120" t="s">
        <v>165</v>
      </c>
      <c r="G1092" s="55">
        <v>5</v>
      </c>
      <c r="H1092" s="120">
        <v>23</v>
      </c>
      <c r="I1092" s="57">
        <v>125</v>
      </c>
      <c r="J1092" s="120">
        <v>135</v>
      </c>
      <c r="K1092" s="120">
        <v>4</v>
      </c>
      <c r="L1092" s="120">
        <v>100</v>
      </c>
      <c r="M1092" s="120">
        <v>-9999</v>
      </c>
      <c r="N1092" s="120">
        <v>-9999</v>
      </c>
      <c r="O1092" s="120">
        <v>2</v>
      </c>
      <c r="P1092" s="120">
        <v>-9999</v>
      </c>
      <c r="Q1092" s="120">
        <v>5.3000001907348597</v>
      </c>
      <c r="R1092" s="120">
        <v>4.5999999046325701</v>
      </c>
      <c r="S1092" s="148">
        <v>20.200000762939499</v>
      </c>
      <c r="T1092" s="120">
        <v>-9999</v>
      </c>
      <c r="U1092" s="120">
        <v>15</v>
      </c>
      <c r="V1092" s="120">
        <v>-9999</v>
      </c>
      <c r="W1092" s="120">
        <v>-9999</v>
      </c>
      <c r="X1092" s="120">
        <v>-9999</v>
      </c>
      <c r="Y1092" s="120">
        <v>-9999</v>
      </c>
      <c r="Z1092" s="120">
        <v>-9999</v>
      </c>
      <c r="AA1092" s="120">
        <v>68</v>
      </c>
      <c r="AB1092" s="120">
        <v>14.5</v>
      </c>
      <c r="AC1092" s="120">
        <v>1091</v>
      </c>
      <c r="AD1092" s="120">
        <v>2363</v>
      </c>
      <c r="AE1092" s="120">
        <v>-9999</v>
      </c>
      <c r="AF1092" s="120">
        <v>-9999</v>
      </c>
      <c r="AG1092" s="120">
        <v>-9999</v>
      </c>
    </row>
    <row r="1093" spans="1:33" x14ac:dyDescent="0.25">
      <c r="A1093" s="120">
        <v>1092</v>
      </c>
      <c r="B1093" s="120" t="b">
        <v>0</v>
      </c>
      <c r="C1093" s="120">
        <v>0</v>
      </c>
      <c r="D1093" s="61">
        <v>5</v>
      </c>
      <c r="E1093" s="120">
        <v>1</v>
      </c>
      <c r="F1093" s="120" t="s">
        <v>165</v>
      </c>
      <c r="G1093" s="55">
        <v>5</v>
      </c>
      <c r="H1093" s="120">
        <v>22</v>
      </c>
      <c r="I1093" s="57">
        <v>135</v>
      </c>
      <c r="J1093" s="120">
        <v>145</v>
      </c>
      <c r="K1093" s="120">
        <v>4</v>
      </c>
      <c r="L1093" s="120">
        <v>100</v>
      </c>
      <c r="M1093" s="120">
        <v>-9999</v>
      </c>
      <c r="N1093" s="120">
        <v>-9999</v>
      </c>
      <c r="O1093" s="120">
        <v>2</v>
      </c>
      <c r="P1093" s="120">
        <v>-9999</v>
      </c>
      <c r="Q1093" s="120">
        <v>5.3000001907348597</v>
      </c>
      <c r="R1093" s="120">
        <v>4.5999999046325701</v>
      </c>
      <c r="S1093" s="148">
        <v>20.799999237060501</v>
      </c>
      <c r="T1093" s="120">
        <v>-9999</v>
      </c>
      <c r="U1093" s="120">
        <v>15</v>
      </c>
      <c r="V1093" s="120">
        <v>-9999</v>
      </c>
      <c r="W1093" s="120">
        <v>-9999</v>
      </c>
      <c r="X1093" s="120">
        <v>-9999</v>
      </c>
      <c r="Y1093" s="120">
        <v>-9999</v>
      </c>
      <c r="Z1093" s="120">
        <v>-9999</v>
      </c>
      <c r="AA1093" s="120">
        <v>68</v>
      </c>
      <c r="AB1093" s="120">
        <v>14.5</v>
      </c>
      <c r="AC1093" s="120">
        <v>1092</v>
      </c>
      <c r="AD1093" s="120">
        <v>2364</v>
      </c>
      <c r="AE1093" s="120">
        <v>-9999</v>
      </c>
      <c r="AF1093" s="120">
        <v>-9999</v>
      </c>
      <c r="AG1093" s="120">
        <v>-9999</v>
      </c>
    </row>
    <row r="1094" spans="1:33" x14ac:dyDescent="0.25">
      <c r="A1094" s="120">
        <v>1093</v>
      </c>
      <c r="B1094" s="120" t="b">
        <v>0</v>
      </c>
      <c r="C1094" s="120">
        <v>0</v>
      </c>
      <c r="D1094" s="61">
        <v>5</v>
      </c>
      <c r="E1094" s="120">
        <v>1</v>
      </c>
      <c r="F1094" s="120" t="s">
        <v>165</v>
      </c>
      <c r="G1094" s="55">
        <v>5</v>
      </c>
      <c r="H1094" s="120">
        <v>21</v>
      </c>
      <c r="I1094" s="57">
        <v>150</v>
      </c>
      <c r="J1094" s="120">
        <v>160</v>
      </c>
      <c r="K1094" s="120">
        <v>4</v>
      </c>
      <c r="L1094" s="120">
        <v>100</v>
      </c>
      <c r="M1094" s="120">
        <v>-9999</v>
      </c>
      <c r="N1094" s="120">
        <v>-9999</v>
      </c>
      <c r="O1094" s="120">
        <v>2</v>
      </c>
      <c r="P1094" s="120">
        <v>-9999</v>
      </c>
      <c r="Q1094" s="120">
        <v>5.3000001907348597</v>
      </c>
      <c r="R1094" s="120">
        <v>4.5999999046325701</v>
      </c>
      <c r="S1094" s="148">
        <v>21.600000381469702</v>
      </c>
      <c r="T1094" s="120">
        <v>-9999</v>
      </c>
      <c r="U1094" s="120">
        <v>15</v>
      </c>
      <c r="V1094" s="120">
        <v>-9999</v>
      </c>
      <c r="W1094" s="120">
        <v>-9999</v>
      </c>
      <c r="X1094" s="120">
        <v>-9999</v>
      </c>
      <c r="Y1094" s="120">
        <v>-9999</v>
      </c>
      <c r="Z1094" s="120">
        <v>-9999</v>
      </c>
      <c r="AA1094" s="120">
        <v>68</v>
      </c>
      <c r="AB1094" s="120">
        <v>14.5</v>
      </c>
      <c r="AC1094" s="120">
        <v>1093</v>
      </c>
      <c r="AD1094" s="120">
        <v>2365</v>
      </c>
      <c r="AE1094" s="120">
        <v>-9999</v>
      </c>
      <c r="AF1094" s="120">
        <v>-9999</v>
      </c>
      <c r="AG1094" s="120">
        <v>-9999</v>
      </c>
    </row>
    <row r="1095" spans="1:33" x14ac:dyDescent="0.25">
      <c r="A1095" s="120">
        <v>1094</v>
      </c>
      <c r="B1095" s="120" t="b">
        <v>0</v>
      </c>
      <c r="C1095" s="120">
        <v>0</v>
      </c>
      <c r="D1095" s="61">
        <v>5</v>
      </c>
      <c r="E1095" s="120">
        <v>1</v>
      </c>
      <c r="F1095" s="120" t="s">
        <v>166</v>
      </c>
      <c r="G1095" s="55">
        <v>7.5</v>
      </c>
      <c r="H1095" s="120">
        <v>40</v>
      </c>
      <c r="I1095" s="57">
        <v>80</v>
      </c>
      <c r="J1095" s="120">
        <v>90</v>
      </c>
      <c r="K1095" s="120">
        <v>4</v>
      </c>
      <c r="L1095" s="120">
        <v>100</v>
      </c>
      <c r="M1095" s="120">
        <v>-9999</v>
      </c>
      <c r="N1095" s="120">
        <v>-9999</v>
      </c>
      <c r="O1095" s="120">
        <v>2</v>
      </c>
      <c r="P1095" s="120">
        <v>-9999</v>
      </c>
      <c r="Q1095" s="120">
        <v>7.9000000953674299</v>
      </c>
      <c r="R1095" s="120">
        <v>6.8000001907348597</v>
      </c>
      <c r="S1095" s="148">
        <v>16.799999237060501</v>
      </c>
      <c r="T1095" s="120">
        <v>-9999</v>
      </c>
      <c r="U1095" s="120">
        <v>15</v>
      </c>
      <c r="V1095" s="120">
        <v>-9999</v>
      </c>
      <c r="W1095" s="120">
        <v>-9999</v>
      </c>
      <c r="X1095" s="120">
        <v>-9999</v>
      </c>
      <c r="Y1095" s="120">
        <v>-9999</v>
      </c>
      <c r="Z1095" s="120">
        <v>-9999</v>
      </c>
      <c r="AA1095" s="120">
        <v>68</v>
      </c>
      <c r="AB1095" s="120">
        <v>14.5</v>
      </c>
      <c r="AC1095" s="120">
        <v>1094</v>
      </c>
      <c r="AD1095" s="120">
        <v>2366</v>
      </c>
      <c r="AE1095" s="120">
        <v>-9999</v>
      </c>
      <c r="AF1095" s="120">
        <v>-9999</v>
      </c>
      <c r="AG1095" s="120">
        <v>-9999</v>
      </c>
    </row>
    <row r="1096" spans="1:33" x14ac:dyDescent="0.25">
      <c r="A1096" s="120">
        <v>1095</v>
      </c>
      <c r="B1096" s="120" t="b">
        <v>0</v>
      </c>
      <c r="C1096" s="120">
        <v>0</v>
      </c>
      <c r="D1096" s="61">
        <v>5</v>
      </c>
      <c r="E1096" s="120">
        <v>1</v>
      </c>
      <c r="F1096" s="120" t="s">
        <v>166</v>
      </c>
      <c r="G1096" s="55">
        <v>7.5</v>
      </c>
      <c r="H1096" s="120">
        <v>37</v>
      </c>
      <c r="I1096" s="57">
        <v>100</v>
      </c>
      <c r="J1096" s="120">
        <v>110</v>
      </c>
      <c r="K1096" s="120">
        <v>4</v>
      </c>
      <c r="L1096" s="120">
        <v>100</v>
      </c>
      <c r="M1096" s="120">
        <v>-9999</v>
      </c>
      <c r="N1096" s="120">
        <v>-9999</v>
      </c>
      <c r="O1096" s="120">
        <v>2</v>
      </c>
      <c r="P1096" s="120">
        <v>-9999</v>
      </c>
      <c r="Q1096" s="120">
        <v>7.9000000953674299</v>
      </c>
      <c r="R1096" s="120">
        <v>6.8000001907348597</v>
      </c>
      <c r="S1096" s="148">
        <v>18.299999237060501</v>
      </c>
      <c r="T1096" s="120">
        <v>-9999</v>
      </c>
      <c r="U1096" s="120">
        <v>15</v>
      </c>
      <c r="V1096" s="120">
        <v>-9999</v>
      </c>
      <c r="W1096" s="120">
        <v>-9999</v>
      </c>
      <c r="X1096" s="120">
        <v>-9999</v>
      </c>
      <c r="Y1096" s="120">
        <v>-9999</v>
      </c>
      <c r="Z1096" s="120">
        <v>-9999</v>
      </c>
      <c r="AA1096" s="120">
        <v>68</v>
      </c>
      <c r="AB1096" s="120">
        <v>14.5</v>
      </c>
      <c r="AC1096" s="120">
        <v>1095</v>
      </c>
      <c r="AD1096" s="120">
        <v>2367</v>
      </c>
      <c r="AE1096" s="120">
        <v>-9999</v>
      </c>
      <c r="AF1096" s="120">
        <v>-9999</v>
      </c>
      <c r="AG1096" s="120">
        <v>-9999</v>
      </c>
    </row>
    <row r="1097" spans="1:33" x14ac:dyDescent="0.25">
      <c r="A1097" s="120">
        <v>1096</v>
      </c>
      <c r="B1097" s="120" t="b">
        <v>0</v>
      </c>
      <c r="C1097" s="120">
        <v>0</v>
      </c>
      <c r="D1097" s="61">
        <v>5</v>
      </c>
      <c r="E1097" s="120">
        <v>1</v>
      </c>
      <c r="F1097" s="120" t="s">
        <v>166</v>
      </c>
      <c r="G1097" s="55">
        <v>7.5</v>
      </c>
      <c r="H1097" s="120">
        <v>35</v>
      </c>
      <c r="I1097" s="57">
        <v>110</v>
      </c>
      <c r="J1097" s="120">
        <v>120</v>
      </c>
      <c r="K1097" s="120">
        <v>4</v>
      </c>
      <c r="L1097" s="120">
        <v>100</v>
      </c>
      <c r="M1097" s="120">
        <v>-9999</v>
      </c>
      <c r="N1097" s="120">
        <v>-9999</v>
      </c>
      <c r="O1097" s="120">
        <v>2</v>
      </c>
      <c r="P1097" s="120">
        <v>-9999</v>
      </c>
      <c r="Q1097" s="120">
        <v>7.9000000953674299</v>
      </c>
      <c r="R1097" s="120">
        <v>6.8000001907348597</v>
      </c>
      <c r="S1097" s="148">
        <v>19.200000762939499</v>
      </c>
      <c r="T1097" s="120">
        <v>-9999</v>
      </c>
      <c r="U1097" s="120">
        <v>15</v>
      </c>
      <c r="V1097" s="120">
        <v>-9999</v>
      </c>
      <c r="W1097" s="120">
        <v>-9999</v>
      </c>
      <c r="X1097" s="120">
        <v>-9999</v>
      </c>
      <c r="Y1097" s="120">
        <v>-9999</v>
      </c>
      <c r="Z1097" s="120">
        <v>-9999</v>
      </c>
      <c r="AA1097" s="120">
        <v>68</v>
      </c>
      <c r="AB1097" s="120">
        <v>14.5</v>
      </c>
      <c r="AC1097" s="120">
        <v>1096</v>
      </c>
      <c r="AD1097" s="120">
        <v>2368</v>
      </c>
      <c r="AE1097" s="120">
        <v>-9999</v>
      </c>
      <c r="AF1097" s="120">
        <v>-9999</v>
      </c>
      <c r="AG1097" s="120">
        <v>-9999</v>
      </c>
    </row>
    <row r="1098" spans="1:33" x14ac:dyDescent="0.25">
      <c r="A1098" s="120">
        <v>1097</v>
      </c>
      <c r="B1098" s="120" t="b">
        <v>0</v>
      </c>
      <c r="C1098" s="120">
        <v>0</v>
      </c>
      <c r="D1098" s="61">
        <v>5</v>
      </c>
      <c r="E1098" s="120">
        <v>1</v>
      </c>
      <c r="F1098" s="120" t="s">
        <v>166</v>
      </c>
      <c r="G1098" s="55">
        <v>7.5</v>
      </c>
      <c r="H1098" s="120">
        <v>34</v>
      </c>
      <c r="I1098" s="57">
        <v>125</v>
      </c>
      <c r="J1098" s="120">
        <v>135</v>
      </c>
      <c r="K1098" s="120">
        <v>4</v>
      </c>
      <c r="L1098" s="120">
        <v>100</v>
      </c>
      <c r="M1098" s="120">
        <v>-9999</v>
      </c>
      <c r="N1098" s="120">
        <v>-9999</v>
      </c>
      <c r="O1098" s="120">
        <v>2</v>
      </c>
      <c r="P1098" s="120">
        <v>-9999</v>
      </c>
      <c r="Q1098" s="120">
        <v>7.9000000953674299</v>
      </c>
      <c r="R1098" s="120">
        <v>6.8000001907348597</v>
      </c>
      <c r="S1098" s="148">
        <v>19.899999618530298</v>
      </c>
      <c r="T1098" s="120">
        <v>-9999</v>
      </c>
      <c r="U1098" s="120">
        <v>15</v>
      </c>
      <c r="V1098" s="120">
        <v>-9999</v>
      </c>
      <c r="W1098" s="120">
        <v>-9999</v>
      </c>
      <c r="X1098" s="120">
        <v>-9999</v>
      </c>
      <c r="Y1098" s="120">
        <v>-9999</v>
      </c>
      <c r="Z1098" s="120">
        <v>-9999</v>
      </c>
      <c r="AA1098" s="120">
        <v>68</v>
      </c>
      <c r="AB1098" s="120">
        <v>14.5</v>
      </c>
      <c r="AC1098" s="120">
        <v>1097</v>
      </c>
      <c r="AD1098" s="120">
        <v>2369</v>
      </c>
      <c r="AE1098" s="120">
        <v>-9999</v>
      </c>
      <c r="AF1098" s="120">
        <v>-9999</v>
      </c>
      <c r="AG1098" s="120">
        <v>-9999</v>
      </c>
    </row>
    <row r="1099" spans="1:33" x14ac:dyDescent="0.25">
      <c r="A1099" s="120">
        <v>1098</v>
      </c>
      <c r="B1099" s="120" t="b">
        <v>0</v>
      </c>
      <c r="C1099" s="120">
        <v>0</v>
      </c>
      <c r="D1099" s="61">
        <v>5</v>
      </c>
      <c r="E1099" s="120">
        <v>1</v>
      </c>
      <c r="F1099" s="120" t="s">
        <v>166</v>
      </c>
      <c r="G1099" s="55">
        <v>7.5</v>
      </c>
      <c r="H1099" s="120">
        <v>33</v>
      </c>
      <c r="I1099" s="57">
        <v>135</v>
      </c>
      <c r="J1099" s="120">
        <v>145</v>
      </c>
      <c r="K1099" s="120">
        <v>4</v>
      </c>
      <c r="L1099" s="120">
        <v>100</v>
      </c>
      <c r="M1099" s="120">
        <v>-9999</v>
      </c>
      <c r="N1099" s="120">
        <v>-9999</v>
      </c>
      <c r="O1099" s="120">
        <v>2</v>
      </c>
      <c r="P1099" s="120">
        <v>-9999</v>
      </c>
      <c r="Q1099" s="120">
        <v>7.9000000953674299</v>
      </c>
      <c r="R1099" s="120">
        <v>6.8000001907348597</v>
      </c>
      <c r="S1099" s="148">
        <v>20.399999618530298</v>
      </c>
      <c r="T1099" s="120">
        <v>-9999</v>
      </c>
      <c r="U1099" s="120">
        <v>15</v>
      </c>
      <c r="V1099" s="120">
        <v>-9999</v>
      </c>
      <c r="W1099" s="120">
        <v>-9999</v>
      </c>
      <c r="X1099" s="120">
        <v>-9999</v>
      </c>
      <c r="Y1099" s="120">
        <v>-9999</v>
      </c>
      <c r="Z1099" s="120">
        <v>-9999</v>
      </c>
      <c r="AA1099" s="120">
        <v>68</v>
      </c>
      <c r="AB1099" s="120">
        <v>14.5</v>
      </c>
      <c r="AC1099" s="120">
        <v>1098</v>
      </c>
      <c r="AD1099" s="120">
        <v>2370</v>
      </c>
      <c r="AE1099" s="120">
        <v>-9999</v>
      </c>
      <c r="AF1099" s="120">
        <v>-9999</v>
      </c>
      <c r="AG1099" s="120">
        <v>-9999</v>
      </c>
    </row>
    <row r="1100" spans="1:33" x14ac:dyDescent="0.25">
      <c r="A1100" s="120">
        <v>1099</v>
      </c>
      <c r="B1100" s="120" t="b">
        <v>0</v>
      </c>
      <c r="C1100" s="120">
        <v>0</v>
      </c>
      <c r="D1100" s="61">
        <v>5</v>
      </c>
      <c r="E1100" s="120">
        <v>1</v>
      </c>
      <c r="F1100" s="120" t="s">
        <v>166</v>
      </c>
      <c r="G1100" s="55">
        <v>7.5</v>
      </c>
      <c r="H1100" s="120">
        <v>32</v>
      </c>
      <c r="I1100" s="57">
        <v>150</v>
      </c>
      <c r="J1100" s="120">
        <v>160</v>
      </c>
      <c r="K1100" s="120">
        <v>4</v>
      </c>
      <c r="L1100" s="120">
        <v>100</v>
      </c>
      <c r="M1100" s="120">
        <v>-9999</v>
      </c>
      <c r="N1100" s="120">
        <v>-9999</v>
      </c>
      <c r="O1100" s="120">
        <v>2</v>
      </c>
      <c r="P1100" s="120">
        <v>-9999</v>
      </c>
      <c r="Q1100" s="120">
        <v>7.9000000953674299</v>
      </c>
      <c r="R1100" s="120">
        <v>6.8000001907348597</v>
      </c>
      <c r="S1100" s="148">
        <v>21.200000762939499</v>
      </c>
      <c r="T1100" s="120">
        <v>-9999</v>
      </c>
      <c r="U1100" s="120">
        <v>15</v>
      </c>
      <c r="V1100" s="120">
        <v>-9999</v>
      </c>
      <c r="W1100" s="120">
        <v>-9999</v>
      </c>
      <c r="X1100" s="120">
        <v>-9999</v>
      </c>
      <c r="Y1100" s="120">
        <v>-9999</v>
      </c>
      <c r="Z1100" s="120">
        <v>-9999</v>
      </c>
      <c r="AA1100" s="120">
        <v>68</v>
      </c>
      <c r="AB1100" s="120">
        <v>14.5</v>
      </c>
      <c r="AC1100" s="120">
        <v>1099</v>
      </c>
      <c r="AD1100" s="120">
        <v>2371</v>
      </c>
      <c r="AE1100" s="120">
        <v>-9999</v>
      </c>
      <c r="AF1100" s="120">
        <v>-9999</v>
      </c>
      <c r="AG1100" s="120">
        <v>-9999</v>
      </c>
    </row>
    <row r="1101" spans="1:33" x14ac:dyDescent="0.25">
      <c r="A1101" s="120">
        <v>1100</v>
      </c>
      <c r="B1101" s="120" t="b">
        <v>0</v>
      </c>
      <c r="C1101" s="120">
        <v>0</v>
      </c>
      <c r="D1101" s="61">
        <v>5</v>
      </c>
      <c r="E1101" s="120">
        <v>1</v>
      </c>
      <c r="F1101" s="120" t="s">
        <v>167</v>
      </c>
      <c r="G1101" s="55">
        <v>10</v>
      </c>
      <c r="H1101" s="120">
        <v>54</v>
      </c>
      <c r="I1101" s="57">
        <v>80</v>
      </c>
      <c r="J1101" s="120">
        <v>90</v>
      </c>
      <c r="K1101" s="120">
        <v>4</v>
      </c>
      <c r="L1101" s="120">
        <v>100</v>
      </c>
      <c r="M1101" s="120">
        <v>-9999</v>
      </c>
      <c r="N1101" s="120">
        <v>-9999</v>
      </c>
      <c r="O1101" s="120">
        <v>2</v>
      </c>
      <c r="P1101" s="120">
        <v>-9999</v>
      </c>
      <c r="Q1101" s="120">
        <v>10.5</v>
      </c>
      <c r="R1101" s="120">
        <v>9</v>
      </c>
      <c r="S1101" s="148">
        <v>16.600000381469702</v>
      </c>
      <c r="T1101" s="120">
        <v>-9999</v>
      </c>
      <c r="U1101" s="120">
        <v>15</v>
      </c>
      <c r="V1101" s="120">
        <v>-9999</v>
      </c>
      <c r="W1101" s="120">
        <v>-9999</v>
      </c>
      <c r="X1101" s="120">
        <v>-9999</v>
      </c>
      <c r="Y1101" s="120">
        <v>-9999</v>
      </c>
      <c r="Z1101" s="120">
        <v>-9999</v>
      </c>
      <c r="AA1101" s="120">
        <v>68</v>
      </c>
      <c r="AB1101" s="120">
        <v>14.5</v>
      </c>
      <c r="AC1101" s="120">
        <v>1100</v>
      </c>
      <c r="AD1101" s="120">
        <v>2372</v>
      </c>
      <c r="AE1101" s="120">
        <v>-9999</v>
      </c>
      <c r="AF1101" s="120">
        <v>-9999</v>
      </c>
      <c r="AG1101" s="120">
        <v>-9999</v>
      </c>
    </row>
    <row r="1102" spans="1:33" x14ac:dyDescent="0.25">
      <c r="A1102" s="120">
        <v>1101</v>
      </c>
      <c r="B1102" s="120" t="b">
        <v>0</v>
      </c>
      <c r="C1102" s="120">
        <v>0</v>
      </c>
      <c r="D1102" s="61">
        <v>5</v>
      </c>
      <c r="E1102" s="120">
        <v>1</v>
      </c>
      <c r="F1102" s="120" t="s">
        <v>167</v>
      </c>
      <c r="G1102" s="55">
        <v>10</v>
      </c>
      <c r="H1102" s="120">
        <v>49</v>
      </c>
      <c r="I1102" s="57">
        <v>100</v>
      </c>
      <c r="J1102" s="120">
        <v>110</v>
      </c>
      <c r="K1102" s="120">
        <v>4</v>
      </c>
      <c r="L1102" s="120">
        <v>100</v>
      </c>
      <c r="M1102" s="120">
        <v>-9999</v>
      </c>
      <c r="N1102" s="120">
        <v>-9999</v>
      </c>
      <c r="O1102" s="120">
        <v>2</v>
      </c>
      <c r="P1102" s="120">
        <v>-9999</v>
      </c>
      <c r="Q1102" s="120">
        <v>10.5</v>
      </c>
      <c r="R1102" s="120">
        <v>9</v>
      </c>
      <c r="S1102" s="148">
        <v>18.100000381469702</v>
      </c>
      <c r="T1102" s="120">
        <v>-9999</v>
      </c>
      <c r="U1102" s="120">
        <v>15</v>
      </c>
      <c r="V1102" s="120">
        <v>-9999</v>
      </c>
      <c r="W1102" s="120">
        <v>-9999</v>
      </c>
      <c r="X1102" s="120">
        <v>-9999</v>
      </c>
      <c r="Y1102" s="120">
        <v>-9999</v>
      </c>
      <c r="Z1102" s="120">
        <v>-9999</v>
      </c>
      <c r="AA1102" s="120">
        <v>68</v>
      </c>
      <c r="AB1102" s="120">
        <v>14.5</v>
      </c>
      <c r="AC1102" s="120">
        <v>1101</v>
      </c>
      <c r="AD1102" s="120">
        <v>2373</v>
      </c>
      <c r="AE1102" s="120">
        <v>-9999</v>
      </c>
      <c r="AF1102" s="120">
        <v>-9999</v>
      </c>
      <c r="AG1102" s="120">
        <v>-9999</v>
      </c>
    </row>
    <row r="1103" spans="1:33" x14ac:dyDescent="0.25">
      <c r="A1103" s="120">
        <v>1102</v>
      </c>
      <c r="B1103" s="120" t="b">
        <v>0</v>
      </c>
      <c r="C1103" s="120">
        <v>0</v>
      </c>
      <c r="D1103" s="61">
        <v>5</v>
      </c>
      <c r="E1103" s="120">
        <v>1</v>
      </c>
      <c r="F1103" s="120" t="s">
        <v>167</v>
      </c>
      <c r="G1103" s="55">
        <v>10</v>
      </c>
      <c r="H1103" s="120">
        <v>47</v>
      </c>
      <c r="I1103" s="57">
        <v>110</v>
      </c>
      <c r="J1103" s="120">
        <v>120</v>
      </c>
      <c r="K1103" s="120">
        <v>4</v>
      </c>
      <c r="L1103" s="120">
        <v>100</v>
      </c>
      <c r="M1103" s="120">
        <v>-9999</v>
      </c>
      <c r="N1103" s="120">
        <v>-9999</v>
      </c>
      <c r="O1103" s="120">
        <v>2</v>
      </c>
      <c r="P1103" s="120">
        <v>-9999</v>
      </c>
      <c r="Q1103" s="120">
        <v>10.5</v>
      </c>
      <c r="R1103" s="120">
        <v>9</v>
      </c>
      <c r="S1103" s="148">
        <v>19</v>
      </c>
      <c r="T1103" s="120">
        <v>-9999</v>
      </c>
      <c r="U1103" s="120">
        <v>15</v>
      </c>
      <c r="V1103" s="120">
        <v>-9999</v>
      </c>
      <c r="W1103" s="120">
        <v>-9999</v>
      </c>
      <c r="X1103" s="120">
        <v>-9999</v>
      </c>
      <c r="Y1103" s="120">
        <v>-9999</v>
      </c>
      <c r="Z1103" s="120">
        <v>-9999</v>
      </c>
      <c r="AA1103" s="120">
        <v>68</v>
      </c>
      <c r="AB1103" s="120">
        <v>14.5</v>
      </c>
      <c r="AC1103" s="120">
        <v>1102</v>
      </c>
      <c r="AD1103" s="120">
        <v>2374</v>
      </c>
      <c r="AE1103" s="120">
        <v>-9999</v>
      </c>
      <c r="AF1103" s="120">
        <v>-9999</v>
      </c>
      <c r="AG1103" s="120">
        <v>-9999</v>
      </c>
    </row>
    <row r="1104" spans="1:33" x14ac:dyDescent="0.25">
      <c r="A1104" s="120">
        <v>1103</v>
      </c>
      <c r="B1104" s="120" t="b">
        <v>0</v>
      </c>
      <c r="C1104" s="120">
        <v>0</v>
      </c>
      <c r="D1104" s="61">
        <v>5</v>
      </c>
      <c r="E1104" s="120">
        <v>1</v>
      </c>
      <c r="F1104" s="120" t="s">
        <v>167</v>
      </c>
      <c r="G1104" s="55">
        <v>10</v>
      </c>
      <c r="H1104" s="120">
        <v>46</v>
      </c>
      <c r="I1104" s="57">
        <v>125</v>
      </c>
      <c r="J1104" s="120">
        <v>135</v>
      </c>
      <c r="K1104" s="120">
        <v>4</v>
      </c>
      <c r="L1104" s="120">
        <v>100</v>
      </c>
      <c r="M1104" s="120">
        <v>-9999</v>
      </c>
      <c r="N1104" s="120">
        <v>-9999</v>
      </c>
      <c r="O1104" s="120">
        <v>2</v>
      </c>
      <c r="P1104" s="120">
        <v>-9999</v>
      </c>
      <c r="Q1104" s="120">
        <v>10.5</v>
      </c>
      <c r="R1104" s="120">
        <v>9</v>
      </c>
      <c r="S1104" s="148">
        <v>19.700000762939499</v>
      </c>
      <c r="T1104" s="120">
        <v>-9999</v>
      </c>
      <c r="U1104" s="120">
        <v>15</v>
      </c>
      <c r="V1104" s="120">
        <v>-9999</v>
      </c>
      <c r="W1104" s="120">
        <v>-9999</v>
      </c>
      <c r="X1104" s="120">
        <v>-9999</v>
      </c>
      <c r="Y1104" s="120">
        <v>-9999</v>
      </c>
      <c r="Z1104" s="120">
        <v>-9999</v>
      </c>
      <c r="AA1104" s="120">
        <v>68</v>
      </c>
      <c r="AB1104" s="120">
        <v>14.5</v>
      </c>
      <c r="AC1104" s="120">
        <v>1103</v>
      </c>
      <c r="AD1104" s="120">
        <v>2375</v>
      </c>
      <c r="AE1104" s="120">
        <v>-9999</v>
      </c>
      <c r="AF1104" s="120">
        <v>-9999</v>
      </c>
      <c r="AG1104" s="120">
        <v>-9999</v>
      </c>
    </row>
    <row r="1105" spans="1:33" x14ac:dyDescent="0.25">
      <c r="A1105" s="120">
        <v>1104</v>
      </c>
      <c r="B1105" s="120" t="b">
        <v>0</v>
      </c>
      <c r="C1105" s="120">
        <v>0</v>
      </c>
      <c r="D1105" s="61">
        <v>5</v>
      </c>
      <c r="E1105" s="120">
        <v>1</v>
      </c>
      <c r="F1105" s="120" t="s">
        <v>167</v>
      </c>
      <c r="G1105" s="55">
        <v>10</v>
      </c>
      <c r="H1105" s="120">
        <v>44</v>
      </c>
      <c r="I1105" s="57">
        <v>135</v>
      </c>
      <c r="J1105" s="120">
        <v>145</v>
      </c>
      <c r="K1105" s="120">
        <v>4</v>
      </c>
      <c r="L1105" s="120">
        <v>100</v>
      </c>
      <c r="M1105" s="120">
        <v>-9999</v>
      </c>
      <c r="N1105" s="120">
        <v>-9999</v>
      </c>
      <c r="O1105" s="120">
        <v>2</v>
      </c>
      <c r="P1105" s="120">
        <v>-9999</v>
      </c>
      <c r="Q1105" s="120">
        <v>10.5</v>
      </c>
      <c r="R1105" s="120">
        <v>9</v>
      </c>
      <c r="S1105" s="148">
        <v>20.200000762939499</v>
      </c>
      <c r="T1105" s="120">
        <v>-9999</v>
      </c>
      <c r="U1105" s="120">
        <v>15</v>
      </c>
      <c r="V1105" s="120">
        <v>-9999</v>
      </c>
      <c r="W1105" s="120">
        <v>-9999</v>
      </c>
      <c r="X1105" s="120">
        <v>-9999</v>
      </c>
      <c r="Y1105" s="120">
        <v>-9999</v>
      </c>
      <c r="Z1105" s="120">
        <v>-9999</v>
      </c>
      <c r="AA1105" s="120">
        <v>68</v>
      </c>
      <c r="AB1105" s="120">
        <v>14.5</v>
      </c>
      <c r="AC1105" s="120">
        <v>1104</v>
      </c>
      <c r="AD1105" s="120">
        <v>2376</v>
      </c>
      <c r="AE1105" s="120">
        <v>-9999</v>
      </c>
      <c r="AF1105" s="120">
        <v>-9999</v>
      </c>
      <c r="AG1105" s="120">
        <v>-9999</v>
      </c>
    </row>
    <row r="1106" spans="1:33" x14ac:dyDescent="0.25">
      <c r="A1106" s="120">
        <v>1105</v>
      </c>
      <c r="B1106" s="120" t="b">
        <v>0</v>
      </c>
      <c r="C1106" s="120">
        <v>0</v>
      </c>
      <c r="D1106" s="61">
        <v>5</v>
      </c>
      <c r="E1106" s="120">
        <v>1</v>
      </c>
      <c r="F1106" s="120" t="s">
        <v>167</v>
      </c>
      <c r="G1106" s="55">
        <v>10</v>
      </c>
      <c r="H1106" s="120">
        <v>43</v>
      </c>
      <c r="I1106" s="57">
        <v>150</v>
      </c>
      <c r="J1106" s="120">
        <v>160</v>
      </c>
      <c r="K1106" s="120">
        <v>4</v>
      </c>
      <c r="L1106" s="120">
        <v>100</v>
      </c>
      <c r="M1106" s="120">
        <v>-9999</v>
      </c>
      <c r="N1106" s="120">
        <v>-9999</v>
      </c>
      <c r="O1106" s="120">
        <v>2</v>
      </c>
      <c r="P1106" s="120">
        <v>-9999</v>
      </c>
      <c r="Q1106" s="120">
        <v>10.5</v>
      </c>
      <c r="R1106" s="120">
        <v>9</v>
      </c>
      <c r="S1106" s="148">
        <v>21</v>
      </c>
      <c r="T1106" s="120">
        <v>-9999</v>
      </c>
      <c r="U1106" s="120">
        <v>15</v>
      </c>
      <c r="V1106" s="120">
        <v>-9999</v>
      </c>
      <c r="W1106" s="120">
        <v>-9999</v>
      </c>
      <c r="X1106" s="120">
        <v>-9999</v>
      </c>
      <c r="Y1106" s="120">
        <v>-9999</v>
      </c>
      <c r="Z1106" s="120">
        <v>-9999</v>
      </c>
      <c r="AA1106" s="120">
        <v>68</v>
      </c>
      <c r="AB1106" s="120">
        <v>14.5</v>
      </c>
      <c r="AC1106" s="120">
        <v>1105</v>
      </c>
      <c r="AD1106" s="120">
        <v>2377</v>
      </c>
      <c r="AE1106" s="120">
        <v>-9999</v>
      </c>
      <c r="AF1106" s="120">
        <v>-9999</v>
      </c>
      <c r="AG1106" s="120">
        <v>-9999</v>
      </c>
    </row>
    <row r="1107" spans="1:33" x14ac:dyDescent="0.25">
      <c r="A1107" s="120">
        <v>1106</v>
      </c>
      <c r="B1107" s="120" t="b">
        <v>0</v>
      </c>
      <c r="C1107" s="120">
        <v>0</v>
      </c>
      <c r="D1107" s="61">
        <v>5</v>
      </c>
      <c r="E1107" s="120">
        <v>1</v>
      </c>
      <c r="F1107" s="120" t="s">
        <v>168</v>
      </c>
      <c r="G1107" s="55">
        <v>15</v>
      </c>
      <c r="H1107" s="120">
        <v>81</v>
      </c>
      <c r="I1107" s="57">
        <v>80</v>
      </c>
      <c r="J1107" s="120">
        <v>90</v>
      </c>
      <c r="K1107" s="120">
        <v>4</v>
      </c>
      <c r="L1107" s="120">
        <v>100</v>
      </c>
      <c r="M1107" s="120">
        <v>-9999</v>
      </c>
      <c r="N1107" s="120">
        <v>-9999</v>
      </c>
      <c r="O1107" s="120">
        <v>2</v>
      </c>
      <c r="P1107" s="120">
        <v>-9999</v>
      </c>
      <c r="Q1107" s="120">
        <v>15.800000190734901</v>
      </c>
      <c r="R1107" s="120">
        <v>13.3999996185303</v>
      </c>
      <c r="S1107" s="148">
        <v>16.600000381469702</v>
      </c>
      <c r="T1107" s="120">
        <v>-9999</v>
      </c>
      <c r="U1107" s="120">
        <v>15</v>
      </c>
      <c r="V1107" s="120">
        <v>-9999</v>
      </c>
      <c r="W1107" s="120">
        <v>-9999</v>
      </c>
      <c r="X1107" s="120">
        <v>-9999</v>
      </c>
      <c r="Y1107" s="120">
        <v>-9999</v>
      </c>
      <c r="Z1107" s="120">
        <v>-9999</v>
      </c>
      <c r="AA1107" s="120">
        <v>68</v>
      </c>
      <c r="AB1107" s="120">
        <v>14.5</v>
      </c>
      <c r="AC1107" s="120">
        <v>1106</v>
      </c>
      <c r="AD1107" s="120">
        <v>2378</v>
      </c>
      <c r="AE1107" s="120">
        <v>-9999</v>
      </c>
      <c r="AF1107" s="120">
        <v>-9999</v>
      </c>
      <c r="AG1107" s="120">
        <v>-9999</v>
      </c>
    </row>
    <row r="1108" spans="1:33" x14ac:dyDescent="0.25">
      <c r="A1108" s="120">
        <v>1107</v>
      </c>
      <c r="B1108" s="120" t="b">
        <v>0</v>
      </c>
      <c r="C1108" s="120">
        <v>0</v>
      </c>
      <c r="D1108" s="61">
        <v>5</v>
      </c>
      <c r="E1108" s="120">
        <v>1</v>
      </c>
      <c r="F1108" s="120" t="s">
        <v>168</v>
      </c>
      <c r="G1108" s="55">
        <v>15</v>
      </c>
      <c r="H1108" s="120">
        <v>74</v>
      </c>
      <c r="I1108" s="57">
        <v>100</v>
      </c>
      <c r="J1108" s="120">
        <v>110</v>
      </c>
      <c r="K1108" s="120">
        <v>4</v>
      </c>
      <c r="L1108" s="120">
        <v>100</v>
      </c>
      <c r="M1108" s="120">
        <v>-9999</v>
      </c>
      <c r="N1108" s="120">
        <v>-9999</v>
      </c>
      <c r="O1108" s="120">
        <v>2</v>
      </c>
      <c r="P1108" s="120">
        <v>-9999</v>
      </c>
      <c r="Q1108" s="120">
        <v>15.800000190734901</v>
      </c>
      <c r="R1108" s="120">
        <v>13.3999996185303</v>
      </c>
      <c r="S1108" s="148">
        <v>18.100000381469702</v>
      </c>
      <c r="T1108" s="120">
        <v>-9999</v>
      </c>
      <c r="U1108" s="120">
        <v>15</v>
      </c>
      <c r="V1108" s="120">
        <v>-9999</v>
      </c>
      <c r="W1108" s="120">
        <v>-9999</v>
      </c>
      <c r="X1108" s="120">
        <v>-9999</v>
      </c>
      <c r="Y1108" s="120">
        <v>-9999</v>
      </c>
      <c r="Z1108" s="120">
        <v>-9999</v>
      </c>
      <c r="AA1108" s="120">
        <v>68</v>
      </c>
      <c r="AB1108" s="120">
        <v>14.5</v>
      </c>
      <c r="AC1108" s="120">
        <v>1107</v>
      </c>
      <c r="AD1108" s="120">
        <v>2379</v>
      </c>
      <c r="AE1108" s="120">
        <v>-9999</v>
      </c>
      <c r="AF1108" s="120">
        <v>-9999</v>
      </c>
      <c r="AG1108" s="120">
        <v>-9999</v>
      </c>
    </row>
    <row r="1109" spans="1:33" x14ac:dyDescent="0.25">
      <c r="A1109" s="120">
        <v>1108</v>
      </c>
      <c r="B1109" s="120" t="b">
        <v>0</v>
      </c>
      <c r="C1109" s="120">
        <v>0</v>
      </c>
      <c r="D1109" s="61">
        <v>5</v>
      </c>
      <c r="E1109" s="120">
        <v>1</v>
      </c>
      <c r="F1109" s="120" t="s">
        <v>168</v>
      </c>
      <c r="G1109" s="55">
        <v>15</v>
      </c>
      <c r="H1109" s="120">
        <v>71</v>
      </c>
      <c r="I1109" s="57">
        <v>110</v>
      </c>
      <c r="J1109" s="120">
        <v>120</v>
      </c>
      <c r="K1109" s="120">
        <v>4</v>
      </c>
      <c r="L1109" s="120">
        <v>100</v>
      </c>
      <c r="M1109" s="120">
        <v>-9999</v>
      </c>
      <c r="N1109" s="120">
        <v>-9999</v>
      </c>
      <c r="O1109" s="120">
        <v>2</v>
      </c>
      <c r="P1109" s="120">
        <v>-9999</v>
      </c>
      <c r="Q1109" s="120">
        <v>15.800000190734901</v>
      </c>
      <c r="R1109" s="120">
        <v>13.3999996185303</v>
      </c>
      <c r="S1109" s="148">
        <v>19</v>
      </c>
      <c r="T1109" s="120">
        <v>-9999</v>
      </c>
      <c r="U1109" s="120">
        <v>15</v>
      </c>
      <c r="V1109" s="120">
        <v>-9999</v>
      </c>
      <c r="W1109" s="120">
        <v>-9999</v>
      </c>
      <c r="X1109" s="120">
        <v>-9999</v>
      </c>
      <c r="Y1109" s="120">
        <v>-9999</v>
      </c>
      <c r="Z1109" s="120">
        <v>-9999</v>
      </c>
      <c r="AA1109" s="120">
        <v>68</v>
      </c>
      <c r="AB1109" s="120">
        <v>14.5</v>
      </c>
      <c r="AC1109" s="120">
        <v>1108</v>
      </c>
      <c r="AD1109" s="120">
        <v>2380</v>
      </c>
      <c r="AE1109" s="120">
        <v>-9999</v>
      </c>
      <c r="AF1109" s="120">
        <v>-9999</v>
      </c>
      <c r="AG1109" s="120">
        <v>-9999</v>
      </c>
    </row>
    <row r="1110" spans="1:33" x14ac:dyDescent="0.25">
      <c r="A1110" s="120">
        <v>1109</v>
      </c>
      <c r="B1110" s="120" t="b">
        <v>0</v>
      </c>
      <c r="C1110" s="120">
        <v>0</v>
      </c>
      <c r="D1110" s="61">
        <v>5</v>
      </c>
      <c r="E1110" s="120">
        <v>1</v>
      </c>
      <c r="F1110" s="120" t="s">
        <v>168</v>
      </c>
      <c r="G1110" s="55">
        <v>15</v>
      </c>
      <c r="H1110" s="120">
        <v>68</v>
      </c>
      <c r="I1110" s="57">
        <v>125</v>
      </c>
      <c r="J1110" s="120">
        <v>135</v>
      </c>
      <c r="K1110" s="120">
        <v>4</v>
      </c>
      <c r="L1110" s="120">
        <v>100</v>
      </c>
      <c r="M1110" s="120">
        <v>-9999</v>
      </c>
      <c r="N1110" s="120">
        <v>-9999</v>
      </c>
      <c r="O1110" s="120">
        <v>2</v>
      </c>
      <c r="P1110" s="120">
        <v>-9999</v>
      </c>
      <c r="Q1110" s="120">
        <v>15.800000190734901</v>
      </c>
      <c r="R1110" s="120">
        <v>13.3999996185303</v>
      </c>
      <c r="S1110" s="148">
        <v>19.700000762939499</v>
      </c>
      <c r="T1110" s="120">
        <v>-9999</v>
      </c>
      <c r="U1110" s="120">
        <v>15</v>
      </c>
      <c r="V1110" s="120">
        <v>-9999</v>
      </c>
      <c r="W1110" s="120">
        <v>-9999</v>
      </c>
      <c r="X1110" s="120">
        <v>-9999</v>
      </c>
      <c r="Y1110" s="120">
        <v>-9999</v>
      </c>
      <c r="Z1110" s="120">
        <v>-9999</v>
      </c>
      <c r="AA1110" s="120">
        <v>68</v>
      </c>
      <c r="AB1110" s="120">
        <v>14.5</v>
      </c>
      <c r="AC1110" s="120">
        <v>1109</v>
      </c>
      <c r="AD1110" s="120">
        <v>2381</v>
      </c>
      <c r="AE1110" s="120">
        <v>-9999</v>
      </c>
      <c r="AF1110" s="120">
        <v>-9999</v>
      </c>
      <c r="AG1110" s="120">
        <v>-9999</v>
      </c>
    </row>
    <row r="1111" spans="1:33" x14ac:dyDescent="0.25">
      <c r="A1111" s="120">
        <v>1110</v>
      </c>
      <c r="B1111" s="120" t="b">
        <v>0</v>
      </c>
      <c r="C1111" s="120">
        <v>0</v>
      </c>
      <c r="D1111" s="61">
        <v>5</v>
      </c>
      <c r="E1111" s="120">
        <v>1</v>
      </c>
      <c r="F1111" s="120" t="s">
        <v>168</v>
      </c>
      <c r="G1111" s="55">
        <v>15</v>
      </c>
      <c r="H1111" s="120">
        <v>66</v>
      </c>
      <c r="I1111" s="57">
        <v>135</v>
      </c>
      <c r="J1111" s="120">
        <v>145</v>
      </c>
      <c r="K1111" s="120">
        <v>4</v>
      </c>
      <c r="L1111" s="120">
        <v>100</v>
      </c>
      <c r="M1111" s="120">
        <v>-9999</v>
      </c>
      <c r="N1111" s="120">
        <v>-9999</v>
      </c>
      <c r="O1111" s="120">
        <v>2</v>
      </c>
      <c r="P1111" s="120">
        <v>-9999</v>
      </c>
      <c r="Q1111" s="120">
        <v>15.800000190734901</v>
      </c>
      <c r="R1111" s="120">
        <v>13.3999996185303</v>
      </c>
      <c r="S1111" s="148">
        <v>20.200000762939499</v>
      </c>
      <c r="T1111" s="120">
        <v>-9999</v>
      </c>
      <c r="U1111" s="120">
        <v>15</v>
      </c>
      <c r="V1111" s="120">
        <v>-9999</v>
      </c>
      <c r="W1111" s="120">
        <v>-9999</v>
      </c>
      <c r="X1111" s="120">
        <v>-9999</v>
      </c>
      <c r="Y1111" s="120">
        <v>-9999</v>
      </c>
      <c r="Z1111" s="120">
        <v>-9999</v>
      </c>
      <c r="AA1111" s="120">
        <v>68</v>
      </c>
      <c r="AB1111" s="120">
        <v>14.5</v>
      </c>
      <c r="AC1111" s="120">
        <v>1110</v>
      </c>
      <c r="AD1111" s="120">
        <v>2382</v>
      </c>
      <c r="AE1111" s="120">
        <v>-9999</v>
      </c>
      <c r="AF1111" s="120">
        <v>-9999</v>
      </c>
      <c r="AG1111" s="120">
        <v>-9999</v>
      </c>
    </row>
    <row r="1112" spans="1:33" x14ac:dyDescent="0.25">
      <c r="A1112" s="120">
        <v>1111</v>
      </c>
      <c r="B1112" s="120" t="b">
        <v>0</v>
      </c>
      <c r="C1112" s="120">
        <v>0</v>
      </c>
      <c r="D1112" s="61">
        <v>5</v>
      </c>
      <c r="E1112" s="120">
        <v>1</v>
      </c>
      <c r="F1112" s="120" t="s">
        <v>168</v>
      </c>
      <c r="G1112" s="55">
        <v>15</v>
      </c>
      <c r="H1112" s="120">
        <v>64</v>
      </c>
      <c r="I1112" s="57">
        <v>150</v>
      </c>
      <c r="J1112" s="120">
        <v>160</v>
      </c>
      <c r="K1112" s="120">
        <v>4</v>
      </c>
      <c r="L1112" s="120">
        <v>100</v>
      </c>
      <c r="M1112" s="120">
        <v>-9999</v>
      </c>
      <c r="N1112" s="120">
        <v>-9999</v>
      </c>
      <c r="O1112" s="120">
        <v>2</v>
      </c>
      <c r="P1112" s="120">
        <v>-9999</v>
      </c>
      <c r="Q1112" s="120">
        <v>15.800000190734901</v>
      </c>
      <c r="R1112" s="120">
        <v>13.3999996185303</v>
      </c>
      <c r="S1112" s="148">
        <v>21</v>
      </c>
      <c r="T1112" s="120">
        <v>-9999</v>
      </c>
      <c r="U1112" s="120">
        <v>15</v>
      </c>
      <c r="V1112" s="120">
        <v>-9999</v>
      </c>
      <c r="W1112" s="120">
        <v>-9999</v>
      </c>
      <c r="X1112" s="120">
        <v>-9999</v>
      </c>
      <c r="Y1112" s="120">
        <v>-9999</v>
      </c>
      <c r="Z1112" s="120">
        <v>-9999</v>
      </c>
      <c r="AA1112" s="120">
        <v>68</v>
      </c>
      <c r="AB1112" s="120">
        <v>14.5</v>
      </c>
      <c r="AC1112" s="120">
        <v>1111</v>
      </c>
      <c r="AD1112" s="120">
        <v>2383</v>
      </c>
      <c r="AE1112" s="120">
        <v>-9999</v>
      </c>
      <c r="AF1112" s="120">
        <v>-9999</v>
      </c>
      <c r="AG1112" s="120">
        <v>-9999</v>
      </c>
    </row>
    <row r="1113" spans="1:33" x14ac:dyDescent="0.25">
      <c r="A1113" s="120">
        <v>1112</v>
      </c>
      <c r="B1113" s="120" t="b">
        <v>0</v>
      </c>
      <c r="C1113" s="120">
        <v>0</v>
      </c>
      <c r="D1113" s="61">
        <v>5</v>
      </c>
      <c r="E1113" s="120">
        <v>1</v>
      </c>
      <c r="F1113" s="120" t="s">
        <v>169</v>
      </c>
      <c r="G1113" s="55">
        <v>20</v>
      </c>
      <c r="H1113" s="120">
        <v>111</v>
      </c>
      <c r="I1113" s="57">
        <v>80</v>
      </c>
      <c r="J1113" s="120">
        <v>90</v>
      </c>
      <c r="K1113" s="120">
        <v>4</v>
      </c>
      <c r="L1113" s="120">
        <v>100</v>
      </c>
      <c r="M1113" s="120">
        <v>-9999</v>
      </c>
      <c r="N1113" s="120">
        <v>-9999</v>
      </c>
      <c r="O1113" s="120">
        <v>2</v>
      </c>
      <c r="P1113" s="120">
        <v>-9999</v>
      </c>
      <c r="Q1113" s="120">
        <v>21</v>
      </c>
      <c r="R1113" s="120">
        <v>17.5</v>
      </c>
      <c r="S1113" s="148">
        <v>15.800000190734901</v>
      </c>
      <c r="T1113" s="120">
        <v>-9999</v>
      </c>
      <c r="U1113" s="120">
        <v>15</v>
      </c>
      <c r="V1113" s="120">
        <v>-9999</v>
      </c>
      <c r="W1113" s="120">
        <v>-9999</v>
      </c>
      <c r="X1113" s="120">
        <v>-9999</v>
      </c>
      <c r="Y1113" s="120">
        <v>-9999</v>
      </c>
      <c r="Z1113" s="120">
        <v>-9999</v>
      </c>
      <c r="AA1113" s="120">
        <v>68</v>
      </c>
      <c r="AB1113" s="120">
        <v>14.5</v>
      </c>
      <c r="AC1113" s="120">
        <v>1112</v>
      </c>
      <c r="AD1113" s="120">
        <v>2384</v>
      </c>
      <c r="AE1113" s="120">
        <v>-9999</v>
      </c>
      <c r="AF1113" s="120">
        <v>-9999</v>
      </c>
      <c r="AG1113" s="120">
        <v>-9999</v>
      </c>
    </row>
    <row r="1114" spans="1:33" x14ac:dyDescent="0.25">
      <c r="A1114" s="120">
        <v>1113</v>
      </c>
      <c r="B1114" s="120" t="b">
        <v>0</v>
      </c>
      <c r="C1114" s="120">
        <v>0</v>
      </c>
      <c r="D1114" s="61">
        <v>5</v>
      </c>
      <c r="E1114" s="120">
        <v>1</v>
      </c>
      <c r="F1114" s="120" t="s">
        <v>169</v>
      </c>
      <c r="G1114" s="55">
        <v>20</v>
      </c>
      <c r="H1114" s="120">
        <v>102</v>
      </c>
      <c r="I1114" s="57">
        <v>100</v>
      </c>
      <c r="J1114" s="120">
        <v>110</v>
      </c>
      <c r="K1114" s="120">
        <v>4</v>
      </c>
      <c r="L1114" s="120">
        <v>100</v>
      </c>
      <c r="M1114" s="120">
        <v>-9999</v>
      </c>
      <c r="N1114" s="120">
        <v>-9999</v>
      </c>
      <c r="O1114" s="120">
        <v>2</v>
      </c>
      <c r="P1114" s="120">
        <v>-9999</v>
      </c>
      <c r="Q1114" s="120">
        <v>21</v>
      </c>
      <c r="R1114" s="120">
        <v>17.5</v>
      </c>
      <c r="S1114" s="148">
        <v>17.200000762939499</v>
      </c>
      <c r="T1114" s="120">
        <v>-9999</v>
      </c>
      <c r="U1114" s="120">
        <v>15</v>
      </c>
      <c r="V1114" s="120">
        <v>-9999</v>
      </c>
      <c r="W1114" s="120">
        <v>-9999</v>
      </c>
      <c r="X1114" s="120">
        <v>-9999</v>
      </c>
      <c r="Y1114" s="120">
        <v>-9999</v>
      </c>
      <c r="Z1114" s="120">
        <v>-9999</v>
      </c>
      <c r="AA1114" s="120">
        <v>68</v>
      </c>
      <c r="AB1114" s="120">
        <v>14.5</v>
      </c>
      <c r="AC1114" s="120">
        <v>1113</v>
      </c>
      <c r="AD1114" s="120">
        <v>2385</v>
      </c>
      <c r="AE1114" s="120">
        <v>-9999</v>
      </c>
      <c r="AF1114" s="120">
        <v>-9999</v>
      </c>
      <c r="AG1114" s="120">
        <v>-9999</v>
      </c>
    </row>
    <row r="1115" spans="1:33" x14ac:dyDescent="0.25">
      <c r="A1115" s="120">
        <v>1114</v>
      </c>
      <c r="B1115" s="120" t="b">
        <v>0</v>
      </c>
      <c r="C1115" s="120">
        <v>0</v>
      </c>
      <c r="D1115" s="61">
        <v>5</v>
      </c>
      <c r="E1115" s="120">
        <v>1</v>
      </c>
      <c r="F1115" s="120" t="s">
        <v>169</v>
      </c>
      <c r="G1115" s="55">
        <v>20</v>
      </c>
      <c r="H1115" s="120">
        <v>97</v>
      </c>
      <c r="I1115" s="57">
        <v>110</v>
      </c>
      <c r="J1115" s="120">
        <v>120</v>
      </c>
      <c r="K1115" s="120">
        <v>4</v>
      </c>
      <c r="L1115" s="120">
        <v>100</v>
      </c>
      <c r="M1115" s="120">
        <v>-9999</v>
      </c>
      <c r="N1115" s="120">
        <v>-9999</v>
      </c>
      <c r="O1115" s="120">
        <v>2</v>
      </c>
      <c r="P1115" s="120">
        <v>-9999</v>
      </c>
      <c r="Q1115" s="120">
        <v>21</v>
      </c>
      <c r="R1115" s="120">
        <v>17.5</v>
      </c>
      <c r="S1115" s="148">
        <v>18</v>
      </c>
      <c r="T1115" s="120">
        <v>-9999</v>
      </c>
      <c r="U1115" s="120">
        <v>15</v>
      </c>
      <c r="V1115" s="120">
        <v>-9999</v>
      </c>
      <c r="W1115" s="120">
        <v>-9999</v>
      </c>
      <c r="X1115" s="120">
        <v>-9999</v>
      </c>
      <c r="Y1115" s="120">
        <v>-9999</v>
      </c>
      <c r="Z1115" s="120">
        <v>-9999</v>
      </c>
      <c r="AA1115" s="120">
        <v>68</v>
      </c>
      <c r="AB1115" s="120">
        <v>14.5</v>
      </c>
      <c r="AC1115" s="120">
        <v>1114</v>
      </c>
      <c r="AD1115" s="120">
        <v>2386</v>
      </c>
      <c r="AE1115" s="120">
        <v>-9999</v>
      </c>
      <c r="AF1115" s="120">
        <v>-9999</v>
      </c>
      <c r="AG1115" s="120">
        <v>-9999</v>
      </c>
    </row>
    <row r="1116" spans="1:33" x14ac:dyDescent="0.25">
      <c r="A1116" s="120">
        <v>1115</v>
      </c>
      <c r="B1116" s="120" t="b">
        <v>0</v>
      </c>
      <c r="C1116" s="120">
        <v>0</v>
      </c>
      <c r="D1116" s="61">
        <v>5</v>
      </c>
      <c r="E1116" s="120">
        <v>1</v>
      </c>
      <c r="F1116" s="120" t="s">
        <v>169</v>
      </c>
      <c r="G1116" s="55">
        <v>20</v>
      </c>
      <c r="H1116" s="120">
        <v>94</v>
      </c>
      <c r="I1116" s="57">
        <v>125</v>
      </c>
      <c r="J1116" s="120">
        <v>135</v>
      </c>
      <c r="K1116" s="120">
        <v>4</v>
      </c>
      <c r="L1116" s="120">
        <v>100</v>
      </c>
      <c r="M1116" s="120">
        <v>-9999</v>
      </c>
      <c r="N1116" s="120">
        <v>-9999</v>
      </c>
      <c r="O1116" s="120">
        <v>2</v>
      </c>
      <c r="P1116" s="120">
        <v>-9999</v>
      </c>
      <c r="Q1116" s="120">
        <v>21</v>
      </c>
      <c r="R1116" s="120">
        <v>17.5</v>
      </c>
      <c r="S1116" s="148">
        <v>18.700000762939499</v>
      </c>
      <c r="T1116" s="120">
        <v>-9999</v>
      </c>
      <c r="U1116" s="120">
        <v>15</v>
      </c>
      <c r="V1116" s="120">
        <v>-9999</v>
      </c>
      <c r="W1116" s="120">
        <v>-9999</v>
      </c>
      <c r="X1116" s="120">
        <v>-9999</v>
      </c>
      <c r="Y1116" s="120">
        <v>-9999</v>
      </c>
      <c r="Z1116" s="120">
        <v>-9999</v>
      </c>
      <c r="AA1116" s="120">
        <v>68</v>
      </c>
      <c r="AB1116" s="120">
        <v>14.5</v>
      </c>
      <c r="AC1116" s="120">
        <v>1115</v>
      </c>
      <c r="AD1116" s="120">
        <v>2387</v>
      </c>
      <c r="AE1116" s="120">
        <v>-9999</v>
      </c>
      <c r="AF1116" s="120">
        <v>-9999</v>
      </c>
      <c r="AG1116" s="120">
        <v>-9999</v>
      </c>
    </row>
    <row r="1117" spans="1:33" x14ac:dyDescent="0.25">
      <c r="A1117" s="120">
        <v>1116</v>
      </c>
      <c r="B1117" s="120" t="b">
        <v>0</v>
      </c>
      <c r="C1117" s="120">
        <v>0</v>
      </c>
      <c r="D1117" s="61">
        <v>5</v>
      </c>
      <c r="E1117" s="120">
        <v>1</v>
      </c>
      <c r="F1117" s="120" t="s">
        <v>169</v>
      </c>
      <c r="G1117" s="55">
        <v>20</v>
      </c>
      <c r="H1117" s="120">
        <v>91</v>
      </c>
      <c r="I1117" s="57">
        <v>135</v>
      </c>
      <c r="J1117" s="120">
        <v>145</v>
      </c>
      <c r="K1117" s="120">
        <v>4</v>
      </c>
      <c r="L1117" s="120">
        <v>100</v>
      </c>
      <c r="M1117" s="120">
        <v>-9999</v>
      </c>
      <c r="N1117" s="120">
        <v>-9999</v>
      </c>
      <c r="O1117" s="120">
        <v>2</v>
      </c>
      <c r="P1117" s="120">
        <v>-9999</v>
      </c>
      <c r="Q1117" s="120">
        <v>21</v>
      </c>
      <c r="R1117" s="120">
        <v>17.5</v>
      </c>
      <c r="S1117" s="148">
        <v>19.200000762939499</v>
      </c>
      <c r="T1117" s="120">
        <v>-9999</v>
      </c>
      <c r="U1117" s="120">
        <v>15</v>
      </c>
      <c r="V1117" s="120">
        <v>-9999</v>
      </c>
      <c r="W1117" s="120">
        <v>-9999</v>
      </c>
      <c r="X1117" s="120">
        <v>-9999</v>
      </c>
      <c r="Y1117" s="120">
        <v>-9999</v>
      </c>
      <c r="Z1117" s="120">
        <v>-9999</v>
      </c>
      <c r="AA1117" s="120">
        <v>68</v>
      </c>
      <c r="AB1117" s="120">
        <v>14.5</v>
      </c>
      <c r="AC1117" s="120">
        <v>1116</v>
      </c>
      <c r="AD1117" s="120">
        <v>2388</v>
      </c>
      <c r="AE1117" s="120">
        <v>-9999</v>
      </c>
      <c r="AF1117" s="120">
        <v>-9999</v>
      </c>
      <c r="AG1117" s="120">
        <v>-9999</v>
      </c>
    </row>
    <row r="1118" spans="1:33" x14ac:dyDescent="0.25">
      <c r="A1118" s="120">
        <v>1117</v>
      </c>
      <c r="B1118" s="120" t="b">
        <v>0</v>
      </c>
      <c r="C1118" s="120">
        <v>0</v>
      </c>
      <c r="D1118" s="61">
        <v>5</v>
      </c>
      <c r="E1118" s="120">
        <v>1</v>
      </c>
      <c r="F1118" s="120" t="s">
        <v>169</v>
      </c>
      <c r="G1118" s="55">
        <v>20</v>
      </c>
      <c r="H1118" s="120">
        <v>88</v>
      </c>
      <c r="I1118" s="57">
        <v>150</v>
      </c>
      <c r="J1118" s="120">
        <v>160</v>
      </c>
      <c r="K1118" s="120">
        <v>4</v>
      </c>
      <c r="L1118" s="120">
        <v>100</v>
      </c>
      <c r="M1118" s="120">
        <v>-9999</v>
      </c>
      <c r="N1118" s="120">
        <v>-9999</v>
      </c>
      <c r="O1118" s="120">
        <v>2</v>
      </c>
      <c r="P1118" s="120">
        <v>-9999</v>
      </c>
      <c r="Q1118" s="120">
        <v>21</v>
      </c>
      <c r="R1118" s="120">
        <v>17.5</v>
      </c>
      <c r="S1118" s="148">
        <v>19.899999618530298</v>
      </c>
      <c r="T1118" s="120">
        <v>-9999</v>
      </c>
      <c r="U1118" s="120">
        <v>15</v>
      </c>
      <c r="V1118" s="120">
        <v>-9999</v>
      </c>
      <c r="W1118" s="120">
        <v>-9999</v>
      </c>
      <c r="X1118" s="120">
        <v>-9999</v>
      </c>
      <c r="Y1118" s="120">
        <v>-9999</v>
      </c>
      <c r="Z1118" s="120">
        <v>-9999</v>
      </c>
      <c r="AA1118" s="120">
        <v>68</v>
      </c>
      <c r="AB1118" s="120">
        <v>14.5</v>
      </c>
      <c r="AC1118" s="120">
        <v>1117</v>
      </c>
      <c r="AD1118" s="120">
        <v>2389</v>
      </c>
      <c r="AE1118" s="120">
        <v>-9999</v>
      </c>
      <c r="AF1118" s="120">
        <v>-9999</v>
      </c>
      <c r="AG1118" s="120">
        <v>-9999</v>
      </c>
    </row>
    <row r="1119" spans="1:33" x14ac:dyDescent="0.25">
      <c r="A1119" s="120">
        <v>1118</v>
      </c>
      <c r="B1119" s="120" t="b">
        <v>0</v>
      </c>
      <c r="C1119" s="120">
        <v>0</v>
      </c>
      <c r="D1119" s="61">
        <v>5</v>
      </c>
      <c r="E1119" s="120">
        <v>1</v>
      </c>
      <c r="F1119" s="120" t="s">
        <v>170</v>
      </c>
      <c r="G1119" s="55">
        <v>25</v>
      </c>
      <c r="H1119" s="120">
        <v>139</v>
      </c>
      <c r="I1119" s="57">
        <v>80</v>
      </c>
      <c r="J1119" s="120">
        <v>90</v>
      </c>
      <c r="K1119" s="120">
        <v>4</v>
      </c>
      <c r="L1119" s="120">
        <v>100</v>
      </c>
      <c r="M1119" s="120">
        <v>-9999</v>
      </c>
      <c r="N1119" s="120">
        <v>-9999</v>
      </c>
      <c r="O1119" s="120">
        <v>2</v>
      </c>
      <c r="P1119" s="120">
        <v>-9999</v>
      </c>
      <c r="Q1119" s="120">
        <v>26.299999237060501</v>
      </c>
      <c r="R1119" s="120">
        <v>21.700000762939499</v>
      </c>
      <c r="S1119" s="148">
        <v>15.6000003814697</v>
      </c>
      <c r="T1119" s="120">
        <v>-9999</v>
      </c>
      <c r="U1119" s="120">
        <v>15</v>
      </c>
      <c r="V1119" s="120">
        <v>-9999</v>
      </c>
      <c r="W1119" s="120">
        <v>-9999</v>
      </c>
      <c r="X1119" s="120">
        <v>-9999</v>
      </c>
      <c r="Y1119" s="120">
        <v>-9999</v>
      </c>
      <c r="Z1119" s="120">
        <v>-9999</v>
      </c>
      <c r="AA1119" s="120">
        <v>68</v>
      </c>
      <c r="AB1119" s="120">
        <v>14.5</v>
      </c>
      <c r="AC1119" s="120">
        <v>1118</v>
      </c>
      <c r="AD1119" s="120">
        <v>2390</v>
      </c>
      <c r="AE1119" s="120">
        <v>-9999</v>
      </c>
      <c r="AF1119" s="120">
        <v>-9999</v>
      </c>
      <c r="AG1119" s="120">
        <v>-9999</v>
      </c>
    </row>
    <row r="1120" spans="1:33" x14ac:dyDescent="0.25">
      <c r="A1120" s="120">
        <v>1119</v>
      </c>
      <c r="B1120" s="120" t="b">
        <v>0</v>
      </c>
      <c r="C1120" s="120">
        <v>0</v>
      </c>
      <c r="D1120" s="61">
        <v>5</v>
      </c>
      <c r="E1120" s="120">
        <v>1</v>
      </c>
      <c r="F1120" s="120" t="s">
        <v>170</v>
      </c>
      <c r="G1120" s="55">
        <v>25</v>
      </c>
      <c r="H1120" s="120">
        <v>127</v>
      </c>
      <c r="I1120" s="57">
        <v>100</v>
      </c>
      <c r="J1120" s="120">
        <v>110</v>
      </c>
      <c r="K1120" s="120">
        <v>4</v>
      </c>
      <c r="L1120" s="120">
        <v>100</v>
      </c>
      <c r="M1120" s="120">
        <v>-9999</v>
      </c>
      <c r="N1120" s="120">
        <v>-9999</v>
      </c>
      <c r="O1120" s="120">
        <v>2</v>
      </c>
      <c r="P1120" s="120">
        <v>-9999</v>
      </c>
      <c r="Q1120" s="120">
        <v>26.299999237060501</v>
      </c>
      <c r="R1120" s="120">
        <v>21.700000762939499</v>
      </c>
      <c r="S1120" s="148">
        <v>17</v>
      </c>
      <c r="T1120" s="120">
        <v>-9999</v>
      </c>
      <c r="U1120" s="120">
        <v>15</v>
      </c>
      <c r="V1120" s="120">
        <v>-9999</v>
      </c>
      <c r="W1120" s="120">
        <v>-9999</v>
      </c>
      <c r="X1120" s="120">
        <v>-9999</v>
      </c>
      <c r="Y1120" s="120">
        <v>-9999</v>
      </c>
      <c r="Z1120" s="120">
        <v>-9999</v>
      </c>
      <c r="AA1120" s="120">
        <v>68</v>
      </c>
      <c r="AB1120" s="120">
        <v>14.5</v>
      </c>
      <c r="AC1120" s="120">
        <v>1119</v>
      </c>
      <c r="AD1120" s="120">
        <v>2391</v>
      </c>
      <c r="AE1120" s="120">
        <v>-9999</v>
      </c>
      <c r="AF1120" s="120">
        <v>-9999</v>
      </c>
      <c r="AG1120" s="120">
        <v>-9999</v>
      </c>
    </row>
    <row r="1121" spans="1:33" x14ac:dyDescent="0.25">
      <c r="A1121" s="120">
        <v>1120</v>
      </c>
      <c r="B1121" s="120" t="b">
        <v>0</v>
      </c>
      <c r="C1121" s="120">
        <v>0</v>
      </c>
      <c r="D1121" s="61">
        <v>5</v>
      </c>
      <c r="E1121" s="120">
        <v>1</v>
      </c>
      <c r="F1121" s="120" t="s">
        <v>170</v>
      </c>
      <c r="G1121" s="55">
        <v>25</v>
      </c>
      <c r="H1121" s="120">
        <v>122</v>
      </c>
      <c r="I1121" s="57">
        <v>110</v>
      </c>
      <c r="J1121" s="120">
        <v>120</v>
      </c>
      <c r="K1121" s="120">
        <v>4</v>
      </c>
      <c r="L1121" s="120">
        <v>100</v>
      </c>
      <c r="M1121" s="120">
        <v>-9999</v>
      </c>
      <c r="N1121" s="120">
        <v>-9999</v>
      </c>
      <c r="O1121" s="120">
        <v>2</v>
      </c>
      <c r="P1121" s="120">
        <v>-9999</v>
      </c>
      <c r="Q1121" s="120">
        <v>26.299999237060501</v>
      </c>
      <c r="R1121" s="120">
        <v>21.700000762939499</v>
      </c>
      <c r="S1121" s="148">
        <v>17.899999618530298</v>
      </c>
      <c r="T1121" s="120">
        <v>-9999</v>
      </c>
      <c r="U1121" s="120">
        <v>15</v>
      </c>
      <c r="V1121" s="120">
        <v>-9999</v>
      </c>
      <c r="W1121" s="120">
        <v>-9999</v>
      </c>
      <c r="X1121" s="120">
        <v>-9999</v>
      </c>
      <c r="Y1121" s="120">
        <v>-9999</v>
      </c>
      <c r="Z1121" s="120">
        <v>-9999</v>
      </c>
      <c r="AA1121" s="120">
        <v>68</v>
      </c>
      <c r="AB1121" s="120">
        <v>14.5</v>
      </c>
      <c r="AC1121" s="120">
        <v>1120</v>
      </c>
      <c r="AD1121" s="120">
        <v>2392</v>
      </c>
      <c r="AE1121" s="120">
        <v>-9999</v>
      </c>
      <c r="AF1121" s="120">
        <v>-9999</v>
      </c>
      <c r="AG1121" s="120">
        <v>-9999</v>
      </c>
    </row>
    <row r="1122" spans="1:33" x14ac:dyDescent="0.25">
      <c r="A1122" s="120">
        <v>1121</v>
      </c>
      <c r="B1122" s="120" t="b">
        <v>0</v>
      </c>
      <c r="C1122" s="120">
        <v>0</v>
      </c>
      <c r="D1122" s="61">
        <v>5</v>
      </c>
      <c r="E1122" s="120">
        <v>1</v>
      </c>
      <c r="F1122" s="120" t="s">
        <v>170</v>
      </c>
      <c r="G1122" s="55">
        <v>25</v>
      </c>
      <c r="H1122" s="120">
        <v>117</v>
      </c>
      <c r="I1122" s="57">
        <v>125</v>
      </c>
      <c r="J1122" s="120">
        <v>135</v>
      </c>
      <c r="K1122" s="120">
        <v>4</v>
      </c>
      <c r="L1122" s="120">
        <v>100</v>
      </c>
      <c r="M1122" s="120">
        <v>-9999</v>
      </c>
      <c r="N1122" s="120">
        <v>-9999</v>
      </c>
      <c r="O1122" s="120">
        <v>2</v>
      </c>
      <c r="P1122" s="120">
        <v>-9999</v>
      </c>
      <c r="Q1122" s="120">
        <v>26.299999237060501</v>
      </c>
      <c r="R1122" s="120">
        <v>21.700000762939499</v>
      </c>
      <c r="S1122" s="148">
        <v>18.5</v>
      </c>
      <c r="T1122" s="120">
        <v>-9999</v>
      </c>
      <c r="U1122" s="120">
        <v>15</v>
      </c>
      <c r="V1122" s="120">
        <v>-9999</v>
      </c>
      <c r="W1122" s="120">
        <v>-9999</v>
      </c>
      <c r="X1122" s="120">
        <v>-9999</v>
      </c>
      <c r="Y1122" s="120">
        <v>-9999</v>
      </c>
      <c r="Z1122" s="120">
        <v>-9999</v>
      </c>
      <c r="AA1122" s="120">
        <v>68</v>
      </c>
      <c r="AB1122" s="120">
        <v>14.5</v>
      </c>
      <c r="AC1122" s="120">
        <v>1121</v>
      </c>
      <c r="AD1122" s="120">
        <v>2393</v>
      </c>
      <c r="AE1122" s="120">
        <v>-9999</v>
      </c>
      <c r="AF1122" s="120">
        <v>-9999</v>
      </c>
      <c r="AG1122" s="120">
        <v>-9999</v>
      </c>
    </row>
    <row r="1123" spans="1:33" x14ac:dyDescent="0.25">
      <c r="A1123" s="120">
        <v>1122</v>
      </c>
      <c r="B1123" s="120" t="b">
        <v>0</v>
      </c>
      <c r="C1123" s="120">
        <v>0</v>
      </c>
      <c r="D1123" s="61">
        <v>5</v>
      </c>
      <c r="E1123" s="120">
        <v>1</v>
      </c>
      <c r="F1123" s="120" t="s">
        <v>170</v>
      </c>
      <c r="G1123" s="55">
        <v>25</v>
      </c>
      <c r="H1123" s="120">
        <v>114</v>
      </c>
      <c r="I1123" s="57">
        <v>135</v>
      </c>
      <c r="J1123" s="120">
        <v>145</v>
      </c>
      <c r="K1123" s="120">
        <v>4</v>
      </c>
      <c r="L1123" s="120">
        <v>100</v>
      </c>
      <c r="M1123" s="120">
        <v>-9999</v>
      </c>
      <c r="N1123" s="120">
        <v>-9999</v>
      </c>
      <c r="O1123" s="120">
        <v>2</v>
      </c>
      <c r="P1123" s="120">
        <v>-9999</v>
      </c>
      <c r="Q1123" s="120">
        <v>26.299999237060501</v>
      </c>
      <c r="R1123" s="120">
        <v>21.700000762939499</v>
      </c>
      <c r="S1123" s="148">
        <v>19</v>
      </c>
      <c r="T1123" s="120">
        <v>-9999</v>
      </c>
      <c r="U1123" s="120">
        <v>15</v>
      </c>
      <c r="V1123" s="120">
        <v>-9999</v>
      </c>
      <c r="W1123" s="120">
        <v>-9999</v>
      </c>
      <c r="X1123" s="120">
        <v>-9999</v>
      </c>
      <c r="Y1123" s="120">
        <v>-9999</v>
      </c>
      <c r="Z1123" s="120">
        <v>-9999</v>
      </c>
      <c r="AA1123" s="120">
        <v>68</v>
      </c>
      <c r="AB1123" s="120">
        <v>14.5</v>
      </c>
      <c r="AC1123" s="120">
        <v>1122</v>
      </c>
      <c r="AD1123" s="120">
        <v>2394</v>
      </c>
      <c r="AE1123" s="120">
        <v>-9999</v>
      </c>
      <c r="AF1123" s="120">
        <v>-9999</v>
      </c>
      <c r="AG1123" s="120">
        <v>-9999</v>
      </c>
    </row>
    <row r="1124" spans="1:33" x14ac:dyDescent="0.25">
      <c r="A1124" s="120">
        <v>1123</v>
      </c>
      <c r="B1124" s="120" t="b">
        <v>0</v>
      </c>
      <c r="C1124" s="120">
        <v>0</v>
      </c>
      <c r="D1124" s="61">
        <v>5</v>
      </c>
      <c r="E1124" s="120">
        <v>1</v>
      </c>
      <c r="F1124" s="120" t="s">
        <v>170</v>
      </c>
      <c r="G1124" s="55">
        <v>25</v>
      </c>
      <c r="H1124" s="120">
        <v>110</v>
      </c>
      <c r="I1124" s="57">
        <v>150</v>
      </c>
      <c r="J1124" s="120">
        <v>160</v>
      </c>
      <c r="K1124" s="120">
        <v>4</v>
      </c>
      <c r="L1124" s="120">
        <v>100</v>
      </c>
      <c r="M1124" s="120">
        <v>-9999</v>
      </c>
      <c r="N1124" s="120">
        <v>-9999</v>
      </c>
      <c r="O1124" s="120">
        <v>2</v>
      </c>
      <c r="P1124" s="120">
        <v>-9999</v>
      </c>
      <c r="Q1124" s="120">
        <v>26.299999237060501</v>
      </c>
      <c r="R1124" s="120">
        <v>21.700000762939499</v>
      </c>
      <c r="S1124" s="148">
        <v>19.799999237060501</v>
      </c>
      <c r="T1124" s="120">
        <v>-9999</v>
      </c>
      <c r="U1124" s="120">
        <v>15</v>
      </c>
      <c r="V1124" s="120">
        <v>-9999</v>
      </c>
      <c r="W1124" s="120">
        <v>-9999</v>
      </c>
      <c r="X1124" s="120">
        <v>-9999</v>
      </c>
      <c r="Y1124" s="120">
        <v>-9999</v>
      </c>
      <c r="Z1124" s="120">
        <v>-9999</v>
      </c>
      <c r="AA1124" s="120">
        <v>68</v>
      </c>
      <c r="AB1124" s="120">
        <v>14.5</v>
      </c>
      <c r="AC1124" s="120">
        <v>1123</v>
      </c>
      <c r="AD1124" s="120">
        <v>2395</v>
      </c>
      <c r="AE1124" s="120">
        <v>-9999</v>
      </c>
      <c r="AF1124" s="120">
        <v>-9999</v>
      </c>
      <c r="AG1124" s="120">
        <v>-9999</v>
      </c>
    </row>
    <row r="1125" spans="1:33" x14ac:dyDescent="0.25">
      <c r="A1125" s="120">
        <v>1124</v>
      </c>
      <c r="B1125" s="120" t="b">
        <v>0</v>
      </c>
      <c r="C1125" s="120">
        <v>0</v>
      </c>
      <c r="D1125" s="61">
        <v>5</v>
      </c>
      <c r="E1125" s="120">
        <v>1</v>
      </c>
      <c r="F1125" s="120" t="s">
        <v>171</v>
      </c>
      <c r="G1125" s="55">
        <v>30</v>
      </c>
      <c r="H1125" s="120">
        <v>168</v>
      </c>
      <c r="I1125" s="57">
        <v>80</v>
      </c>
      <c r="J1125" s="120">
        <v>90</v>
      </c>
      <c r="K1125" s="120">
        <v>4</v>
      </c>
      <c r="L1125" s="120">
        <v>100</v>
      </c>
      <c r="M1125" s="120">
        <v>-9999</v>
      </c>
      <c r="N1125" s="120">
        <v>-9999</v>
      </c>
      <c r="O1125" s="120">
        <v>2</v>
      </c>
      <c r="P1125" s="120">
        <v>-9999</v>
      </c>
      <c r="Q1125" s="120">
        <v>31.5</v>
      </c>
      <c r="R1125" s="120">
        <v>25.799999237060501</v>
      </c>
      <c r="S1125" s="148">
        <v>15.300000190734901</v>
      </c>
      <c r="T1125" s="120">
        <v>-9999</v>
      </c>
      <c r="U1125" s="120">
        <v>15</v>
      </c>
      <c r="V1125" s="120">
        <v>-9999</v>
      </c>
      <c r="W1125" s="120">
        <v>-9999</v>
      </c>
      <c r="X1125" s="120">
        <v>-9999</v>
      </c>
      <c r="Y1125" s="120">
        <v>-9999</v>
      </c>
      <c r="Z1125" s="120">
        <v>-9999</v>
      </c>
      <c r="AA1125" s="120">
        <v>68</v>
      </c>
      <c r="AB1125" s="120">
        <v>14.5</v>
      </c>
      <c r="AC1125" s="120">
        <v>1124</v>
      </c>
      <c r="AD1125" s="120">
        <v>2396</v>
      </c>
      <c r="AE1125" s="120">
        <v>-9999</v>
      </c>
      <c r="AF1125" s="120">
        <v>-9999</v>
      </c>
      <c r="AG1125" s="120">
        <v>-9999</v>
      </c>
    </row>
    <row r="1126" spans="1:33" x14ac:dyDescent="0.25">
      <c r="A1126" s="120">
        <v>1125</v>
      </c>
      <c r="B1126" s="120" t="b">
        <v>0</v>
      </c>
      <c r="C1126" s="120">
        <v>0</v>
      </c>
      <c r="D1126" s="61">
        <v>5</v>
      </c>
      <c r="E1126" s="120">
        <v>1</v>
      </c>
      <c r="F1126" s="120" t="s">
        <v>171</v>
      </c>
      <c r="G1126" s="55">
        <v>30</v>
      </c>
      <c r="H1126" s="120">
        <v>154</v>
      </c>
      <c r="I1126" s="57">
        <v>100</v>
      </c>
      <c r="J1126" s="120">
        <v>110</v>
      </c>
      <c r="K1126" s="120">
        <v>4</v>
      </c>
      <c r="L1126" s="120">
        <v>100</v>
      </c>
      <c r="M1126" s="120">
        <v>-9999</v>
      </c>
      <c r="N1126" s="120">
        <v>-9999</v>
      </c>
      <c r="O1126" s="120">
        <v>2</v>
      </c>
      <c r="P1126" s="120">
        <v>-9999</v>
      </c>
      <c r="Q1126" s="120">
        <v>31.5</v>
      </c>
      <c r="R1126" s="120">
        <v>25.799999237060501</v>
      </c>
      <c r="S1126" s="148">
        <v>16.799999237060501</v>
      </c>
      <c r="T1126" s="120">
        <v>-9999</v>
      </c>
      <c r="U1126" s="120">
        <v>15</v>
      </c>
      <c r="V1126" s="120">
        <v>-9999</v>
      </c>
      <c r="W1126" s="120">
        <v>-9999</v>
      </c>
      <c r="X1126" s="120">
        <v>-9999</v>
      </c>
      <c r="Y1126" s="120">
        <v>-9999</v>
      </c>
      <c r="Z1126" s="120">
        <v>-9999</v>
      </c>
      <c r="AA1126" s="120">
        <v>68</v>
      </c>
      <c r="AB1126" s="120">
        <v>14.5</v>
      </c>
      <c r="AC1126" s="120">
        <v>1125</v>
      </c>
      <c r="AD1126" s="120">
        <v>2397</v>
      </c>
      <c r="AE1126" s="120">
        <v>-9999</v>
      </c>
      <c r="AF1126" s="120">
        <v>-9999</v>
      </c>
      <c r="AG1126" s="120">
        <v>-9999</v>
      </c>
    </row>
    <row r="1127" spans="1:33" x14ac:dyDescent="0.25">
      <c r="A1127" s="120">
        <v>1126</v>
      </c>
      <c r="B1127" s="120" t="b">
        <v>0</v>
      </c>
      <c r="C1127" s="120">
        <v>0</v>
      </c>
      <c r="D1127" s="61">
        <v>5</v>
      </c>
      <c r="E1127" s="120">
        <v>1</v>
      </c>
      <c r="F1127" s="120" t="s">
        <v>171</v>
      </c>
      <c r="G1127" s="55">
        <v>30</v>
      </c>
      <c r="H1127" s="120">
        <v>148</v>
      </c>
      <c r="I1127" s="57">
        <v>110</v>
      </c>
      <c r="J1127" s="120">
        <v>120</v>
      </c>
      <c r="K1127" s="120">
        <v>4</v>
      </c>
      <c r="L1127" s="120">
        <v>100</v>
      </c>
      <c r="M1127" s="120">
        <v>-9999</v>
      </c>
      <c r="N1127" s="120">
        <v>-9999</v>
      </c>
      <c r="O1127" s="120">
        <v>2</v>
      </c>
      <c r="P1127" s="120">
        <v>-9999</v>
      </c>
      <c r="Q1127" s="120">
        <v>31.5</v>
      </c>
      <c r="R1127" s="120">
        <v>25.799999237060501</v>
      </c>
      <c r="S1127" s="148">
        <v>17.5</v>
      </c>
      <c r="T1127" s="120">
        <v>-9999</v>
      </c>
      <c r="U1127" s="120">
        <v>15</v>
      </c>
      <c r="V1127" s="120">
        <v>-9999</v>
      </c>
      <c r="W1127" s="120">
        <v>-9999</v>
      </c>
      <c r="X1127" s="120">
        <v>-9999</v>
      </c>
      <c r="Y1127" s="120">
        <v>-9999</v>
      </c>
      <c r="Z1127" s="120">
        <v>-9999</v>
      </c>
      <c r="AA1127" s="120">
        <v>68</v>
      </c>
      <c r="AB1127" s="120">
        <v>14.5</v>
      </c>
      <c r="AC1127" s="120">
        <v>1126</v>
      </c>
      <c r="AD1127" s="120">
        <v>2398</v>
      </c>
      <c r="AE1127" s="120">
        <v>-9999</v>
      </c>
      <c r="AF1127" s="120">
        <v>-9999</v>
      </c>
      <c r="AG1127" s="120">
        <v>-9999</v>
      </c>
    </row>
    <row r="1128" spans="1:33" x14ac:dyDescent="0.25">
      <c r="A1128" s="120">
        <v>1127</v>
      </c>
      <c r="B1128" s="120" t="b">
        <v>0</v>
      </c>
      <c r="C1128" s="120">
        <v>0</v>
      </c>
      <c r="D1128" s="61">
        <v>5</v>
      </c>
      <c r="E1128" s="120">
        <v>1</v>
      </c>
      <c r="F1128" s="120" t="s">
        <v>171</v>
      </c>
      <c r="G1128" s="55">
        <v>30</v>
      </c>
      <c r="H1128" s="120">
        <v>141</v>
      </c>
      <c r="I1128" s="57">
        <v>125</v>
      </c>
      <c r="J1128" s="120">
        <v>135</v>
      </c>
      <c r="K1128" s="120">
        <v>4</v>
      </c>
      <c r="L1128" s="120">
        <v>100</v>
      </c>
      <c r="M1128" s="120">
        <v>-9999</v>
      </c>
      <c r="N1128" s="120">
        <v>-9999</v>
      </c>
      <c r="O1128" s="120">
        <v>2</v>
      </c>
      <c r="P1128" s="120">
        <v>-9999</v>
      </c>
      <c r="Q1128" s="120">
        <v>31.5</v>
      </c>
      <c r="R1128" s="120">
        <v>25.799999237060501</v>
      </c>
      <c r="S1128" s="148">
        <v>18.399999618530298</v>
      </c>
      <c r="T1128" s="120">
        <v>-9999</v>
      </c>
      <c r="U1128" s="120">
        <v>15</v>
      </c>
      <c r="V1128" s="120">
        <v>-9999</v>
      </c>
      <c r="W1128" s="120">
        <v>-9999</v>
      </c>
      <c r="X1128" s="120">
        <v>-9999</v>
      </c>
      <c r="Y1128" s="120">
        <v>-9999</v>
      </c>
      <c r="Z1128" s="120">
        <v>-9999</v>
      </c>
      <c r="AA1128" s="120">
        <v>68</v>
      </c>
      <c r="AB1128" s="120">
        <v>14.5</v>
      </c>
      <c r="AC1128" s="120">
        <v>1127</v>
      </c>
      <c r="AD1128" s="120">
        <v>2399</v>
      </c>
      <c r="AE1128" s="120">
        <v>-9999</v>
      </c>
      <c r="AF1128" s="120">
        <v>-9999</v>
      </c>
      <c r="AG1128" s="120">
        <v>-9999</v>
      </c>
    </row>
    <row r="1129" spans="1:33" x14ac:dyDescent="0.25">
      <c r="A1129" s="120">
        <v>1128</v>
      </c>
      <c r="B1129" s="120" t="b">
        <v>0</v>
      </c>
      <c r="C1129" s="120">
        <v>0</v>
      </c>
      <c r="D1129" s="61">
        <v>5</v>
      </c>
      <c r="E1129" s="120">
        <v>1</v>
      </c>
      <c r="F1129" s="120" t="s">
        <v>171</v>
      </c>
      <c r="G1129" s="55">
        <v>30</v>
      </c>
      <c r="H1129" s="120">
        <v>136</v>
      </c>
      <c r="I1129" s="57">
        <v>135</v>
      </c>
      <c r="J1129" s="120">
        <v>145</v>
      </c>
      <c r="K1129" s="120">
        <v>4</v>
      </c>
      <c r="L1129" s="120">
        <v>100</v>
      </c>
      <c r="M1129" s="120">
        <v>-9999</v>
      </c>
      <c r="N1129" s="120">
        <v>-9999</v>
      </c>
      <c r="O1129" s="120">
        <v>2</v>
      </c>
      <c r="P1129" s="120">
        <v>-9999</v>
      </c>
      <c r="Q1129" s="120">
        <v>31.5</v>
      </c>
      <c r="R1129" s="120">
        <v>25.799999237060501</v>
      </c>
      <c r="S1129" s="148">
        <v>18.899999618530298</v>
      </c>
      <c r="T1129" s="120">
        <v>-9999</v>
      </c>
      <c r="U1129" s="120">
        <v>15</v>
      </c>
      <c r="V1129" s="120">
        <v>-9999</v>
      </c>
      <c r="W1129" s="120">
        <v>-9999</v>
      </c>
      <c r="X1129" s="120">
        <v>-9999</v>
      </c>
      <c r="Y1129" s="120">
        <v>-9999</v>
      </c>
      <c r="Z1129" s="120">
        <v>-9999</v>
      </c>
      <c r="AA1129" s="120">
        <v>68</v>
      </c>
      <c r="AB1129" s="120">
        <v>14.5</v>
      </c>
      <c r="AC1129" s="120">
        <v>1128</v>
      </c>
      <c r="AD1129" s="120">
        <v>2400</v>
      </c>
      <c r="AE1129" s="120">
        <v>-9999</v>
      </c>
      <c r="AF1129" s="120">
        <v>-9999</v>
      </c>
      <c r="AG1129" s="120">
        <v>-9999</v>
      </c>
    </row>
    <row r="1130" spans="1:33" x14ac:dyDescent="0.25">
      <c r="A1130" s="120">
        <v>1129</v>
      </c>
      <c r="B1130" s="120" t="b">
        <v>0</v>
      </c>
      <c r="C1130" s="120">
        <v>0</v>
      </c>
      <c r="D1130" s="61">
        <v>5</v>
      </c>
      <c r="E1130" s="120">
        <v>1</v>
      </c>
      <c r="F1130" s="120" t="s">
        <v>171</v>
      </c>
      <c r="G1130" s="55">
        <v>30</v>
      </c>
      <c r="H1130" s="120">
        <v>132</v>
      </c>
      <c r="I1130" s="57">
        <v>150</v>
      </c>
      <c r="J1130" s="120">
        <v>160</v>
      </c>
      <c r="K1130" s="120">
        <v>4</v>
      </c>
      <c r="L1130" s="120">
        <v>100</v>
      </c>
      <c r="M1130" s="120">
        <v>-9999</v>
      </c>
      <c r="N1130" s="120">
        <v>-9999</v>
      </c>
      <c r="O1130" s="120">
        <v>2</v>
      </c>
      <c r="P1130" s="120">
        <v>-9999</v>
      </c>
      <c r="Q1130" s="120">
        <v>31.5</v>
      </c>
      <c r="R1130" s="120">
        <v>25.799999237060501</v>
      </c>
      <c r="S1130" s="148">
        <v>19.600000381469702</v>
      </c>
      <c r="T1130" s="120">
        <v>-9999</v>
      </c>
      <c r="U1130" s="120">
        <v>15</v>
      </c>
      <c r="V1130" s="120">
        <v>-9999</v>
      </c>
      <c r="W1130" s="120">
        <v>-9999</v>
      </c>
      <c r="X1130" s="120">
        <v>-9999</v>
      </c>
      <c r="Y1130" s="120">
        <v>-9999</v>
      </c>
      <c r="Z1130" s="120">
        <v>-9999</v>
      </c>
      <c r="AA1130" s="120">
        <v>68</v>
      </c>
      <c r="AB1130" s="120">
        <v>14.5</v>
      </c>
      <c r="AC1130" s="120">
        <v>1129</v>
      </c>
      <c r="AD1130" s="120">
        <v>2401</v>
      </c>
      <c r="AE1130" s="120">
        <v>-9999</v>
      </c>
      <c r="AF1130" s="120">
        <v>-9999</v>
      </c>
      <c r="AG1130" s="120">
        <v>-9999</v>
      </c>
    </row>
    <row r="1131" spans="1:33" x14ac:dyDescent="0.25">
      <c r="A1131" s="120">
        <v>1130</v>
      </c>
      <c r="B1131" s="120" t="b">
        <v>0</v>
      </c>
      <c r="C1131" s="120">
        <v>0</v>
      </c>
      <c r="D1131" s="61">
        <v>5</v>
      </c>
      <c r="E1131" s="120">
        <v>1</v>
      </c>
      <c r="F1131" s="120" t="s">
        <v>172</v>
      </c>
      <c r="G1131" s="55">
        <v>40</v>
      </c>
      <c r="H1131" s="120">
        <v>225</v>
      </c>
      <c r="I1131" s="57">
        <v>80</v>
      </c>
      <c r="J1131" s="120">
        <v>90</v>
      </c>
      <c r="K1131" s="120">
        <v>4</v>
      </c>
      <c r="L1131" s="120">
        <v>100</v>
      </c>
      <c r="M1131" s="120">
        <v>-9999</v>
      </c>
      <c r="N1131" s="120">
        <v>-9999</v>
      </c>
      <c r="O1131" s="120">
        <v>2</v>
      </c>
      <c r="P1131" s="120">
        <v>-9999</v>
      </c>
      <c r="Q1131" s="120">
        <v>42</v>
      </c>
      <c r="R1131" s="120">
        <v>34.700000762939503</v>
      </c>
      <c r="S1131" s="148">
        <v>15.5</v>
      </c>
      <c r="T1131" s="120">
        <v>-9999</v>
      </c>
      <c r="U1131" s="120">
        <v>15</v>
      </c>
      <c r="V1131" s="120">
        <v>-9999</v>
      </c>
      <c r="W1131" s="120">
        <v>-9999</v>
      </c>
      <c r="X1131" s="120">
        <v>-9999</v>
      </c>
      <c r="Y1131" s="120">
        <v>-9999</v>
      </c>
      <c r="Z1131" s="120">
        <v>-9999</v>
      </c>
      <c r="AA1131" s="120">
        <v>68</v>
      </c>
      <c r="AB1131" s="120">
        <v>14.5</v>
      </c>
      <c r="AC1131" s="120">
        <v>1130</v>
      </c>
      <c r="AD1131" s="120">
        <v>2402</v>
      </c>
      <c r="AE1131" s="120">
        <v>-9999</v>
      </c>
      <c r="AF1131" s="120">
        <v>-9999</v>
      </c>
      <c r="AG1131" s="120">
        <v>-9999</v>
      </c>
    </row>
    <row r="1132" spans="1:33" x14ac:dyDescent="0.25">
      <c r="A1132" s="120">
        <v>1131</v>
      </c>
      <c r="B1132" s="120" t="b">
        <v>0</v>
      </c>
      <c r="C1132" s="120">
        <v>0</v>
      </c>
      <c r="D1132" s="61">
        <v>5</v>
      </c>
      <c r="E1132" s="120">
        <v>1</v>
      </c>
      <c r="F1132" s="120" t="s">
        <v>172</v>
      </c>
      <c r="G1132" s="55">
        <v>40</v>
      </c>
      <c r="H1132" s="120">
        <v>205</v>
      </c>
      <c r="I1132" s="57">
        <v>100</v>
      </c>
      <c r="J1132" s="120">
        <v>110</v>
      </c>
      <c r="K1132" s="120">
        <v>4</v>
      </c>
      <c r="L1132" s="120">
        <v>100</v>
      </c>
      <c r="M1132" s="120">
        <v>-9999</v>
      </c>
      <c r="N1132" s="120">
        <v>-9999</v>
      </c>
      <c r="O1132" s="120">
        <v>2</v>
      </c>
      <c r="P1132" s="120">
        <v>-9999</v>
      </c>
      <c r="Q1132" s="120">
        <v>42</v>
      </c>
      <c r="R1132" s="120">
        <v>34.700000762939503</v>
      </c>
      <c r="S1132" s="148">
        <v>17</v>
      </c>
      <c r="T1132" s="120">
        <v>-9999</v>
      </c>
      <c r="U1132" s="120">
        <v>15</v>
      </c>
      <c r="V1132" s="120">
        <v>-9999</v>
      </c>
      <c r="W1132" s="120">
        <v>-9999</v>
      </c>
      <c r="X1132" s="120">
        <v>-9999</v>
      </c>
      <c r="Y1132" s="120">
        <v>-9999</v>
      </c>
      <c r="Z1132" s="120">
        <v>-9999</v>
      </c>
      <c r="AA1132" s="120">
        <v>68</v>
      </c>
      <c r="AB1132" s="120">
        <v>14.5</v>
      </c>
      <c r="AC1132" s="120">
        <v>1131</v>
      </c>
      <c r="AD1132" s="120">
        <v>2403</v>
      </c>
      <c r="AE1132" s="120">
        <v>-9999</v>
      </c>
      <c r="AF1132" s="120">
        <v>-9999</v>
      </c>
      <c r="AG1132" s="120">
        <v>-9999</v>
      </c>
    </row>
    <row r="1133" spans="1:33" x14ac:dyDescent="0.25">
      <c r="A1133" s="120">
        <v>1132</v>
      </c>
      <c r="B1133" s="120" t="b">
        <v>0</v>
      </c>
      <c r="C1133" s="120">
        <v>0</v>
      </c>
      <c r="D1133" s="61">
        <v>5</v>
      </c>
      <c r="E1133" s="120">
        <v>1</v>
      </c>
      <c r="F1133" s="120" t="s">
        <v>172</v>
      </c>
      <c r="G1133" s="55">
        <v>40</v>
      </c>
      <c r="H1133" s="120">
        <v>197</v>
      </c>
      <c r="I1133" s="57">
        <v>110</v>
      </c>
      <c r="J1133" s="120">
        <v>120</v>
      </c>
      <c r="K1133" s="120">
        <v>4</v>
      </c>
      <c r="L1133" s="120">
        <v>100</v>
      </c>
      <c r="M1133" s="120">
        <v>-9999</v>
      </c>
      <c r="N1133" s="120">
        <v>-9999</v>
      </c>
      <c r="O1133" s="120">
        <v>2</v>
      </c>
      <c r="P1133" s="120">
        <v>-9999</v>
      </c>
      <c r="Q1133" s="120">
        <v>42</v>
      </c>
      <c r="R1133" s="120">
        <v>34.700000762939503</v>
      </c>
      <c r="S1133" s="148">
        <v>17.600000381469702</v>
      </c>
      <c r="T1133" s="120">
        <v>-9999</v>
      </c>
      <c r="U1133" s="120">
        <v>15</v>
      </c>
      <c r="V1133" s="120">
        <v>-9999</v>
      </c>
      <c r="W1133" s="120">
        <v>-9999</v>
      </c>
      <c r="X1133" s="120">
        <v>-9999</v>
      </c>
      <c r="Y1133" s="120">
        <v>-9999</v>
      </c>
      <c r="Z1133" s="120">
        <v>-9999</v>
      </c>
      <c r="AA1133" s="120">
        <v>68</v>
      </c>
      <c r="AB1133" s="120">
        <v>14.5</v>
      </c>
      <c r="AC1133" s="120">
        <v>1132</v>
      </c>
      <c r="AD1133" s="120">
        <v>2404</v>
      </c>
      <c r="AE1133" s="120">
        <v>-9999</v>
      </c>
      <c r="AF1133" s="120">
        <v>-9999</v>
      </c>
      <c r="AG1133" s="120">
        <v>-9999</v>
      </c>
    </row>
    <row r="1134" spans="1:33" x14ac:dyDescent="0.25">
      <c r="A1134" s="120">
        <v>1133</v>
      </c>
      <c r="B1134" s="120" t="b">
        <v>0</v>
      </c>
      <c r="C1134" s="120">
        <v>0</v>
      </c>
      <c r="D1134" s="61">
        <v>5</v>
      </c>
      <c r="E1134" s="120">
        <v>1</v>
      </c>
      <c r="F1134" s="120" t="s">
        <v>172</v>
      </c>
      <c r="G1134" s="55">
        <v>40</v>
      </c>
      <c r="H1134" s="120">
        <v>188</v>
      </c>
      <c r="I1134" s="57">
        <v>125</v>
      </c>
      <c r="J1134" s="120">
        <v>135</v>
      </c>
      <c r="K1134" s="120">
        <v>4</v>
      </c>
      <c r="L1134" s="120">
        <v>100</v>
      </c>
      <c r="M1134" s="120">
        <v>-9999</v>
      </c>
      <c r="N1134" s="120">
        <v>-9999</v>
      </c>
      <c r="O1134" s="120">
        <v>2</v>
      </c>
      <c r="P1134" s="120">
        <v>-9999</v>
      </c>
      <c r="Q1134" s="120">
        <v>42</v>
      </c>
      <c r="R1134" s="120">
        <v>34.700000762939503</v>
      </c>
      <c r="S1134" s="148">
        <v>18.5</v>
      </c>
      <c r="T1134" s="120">
        <v>-9999</v>
      </c>
      <c r="U1134" s="120">
        <v>15</v>
      </c>
      <c r="V1134" s="120">
        <v>-9999</v>
      </c>
      <c r="W1134" s="120">
        <v>-9999</v>
      </c>
      <c r="X1134" s="120">
        <v>-9999</v>
      </c>
      <c r="Y1134" s="120">
        <v>-9999</v>
      </c>
      <c r="Z1134" s="120">
        <v>-9999</v>
      </c>
      <c r="AA1134" s="120">
        <v>68</v>
      </c>
      <c r="AB1134" s="120">
        <v>14.5</v>
      </c>
      <c r="AC1134" s="120">
        <v>1133</v>
      </c>
      <c r="AD1134" s="120">
        <v>2405</v>
      </c>
      <c r="AE1134" s="120">
        <v>-9999</v>
      </c>
      <c r="AF1134" s="120">
        <v>-9999</v>
      </c>
      <c r="AG1134" s="120">
        <v>-9999</v>
      </c>
    </row>
    <row r="1135" spans="1:33" x14ac:dyDescent="0.25">
      <c r="A1135" s="120">
        <v>1134</v>
      </c>
      <c r="B1135" s="120" t="b">
        <v>0</v>
      </c>
      <c r="C1135" s="120">
        <v>0</v>
      </c>
      <c r="D1135" s="61">
        <v>5</v>
      </c>
      <c r="E1135" s="120">
        <v>1</v>
      </c>
      <c r="F1135" s="120" t="s">
        <v>172</v>
      </c>
      <c r="G1135" s="55">
        <v>40</v>
      </c>
      <c r="H1135" s="120">
        <v>182</v>
      </c>
      <c r="I1135" s="57">
        <v>135</v>
      </c>
      <c r="J1135" s="120">
        <v>145</v>
      </c>
      <c r="K1135" s="120">
        <v>4</v>
      </c>
      <c r="L1135" s="120">
        <v>100</v>
      </c>
      <c r="M1135" s="120">
        <v>-9999</v>
      </c>
      <c r="N1135" s="120">
        <v>-9999</v>
      </c>
      <c r="O1135" s="120">
        <v>2</v>
      </c>
      <c r="P1135" s="120">
        <v>-9999</v>
      </c>
      <c r="Q1135" s="120">
        <v>42</v>
      </c>
      <c r="R1135" s="120">
        <v>34.700000762939503</v>
      </c>
      <c r="S1135" s="148">
        <v>19.100000381469702</v>
      </c>
      <c r="T1135" s="120">
        <v>-9999</v>
      </c>
      <c r="U1135" s="120">
        <v>15</v>
      </c>
      <c r="V1135" s="120">
        <v>-9999</v>
      </c>
      <c r="W1135" s="120">
        <v>-9999</v>
      </c>
      <c r="X1135" s="120">
        <v>-9999</v>
      </c>
      <c r="Y1135" s="120">
        <v>-9999</v>
      </c>
      <c r="Z1135" s="120">
        <v>-9999</v>
      </c>
      <c r="AA1135" s="120">
        <v>68</v>
      </c>
      <c r="AB1135" s="120">
        <v>14.5</v>
      </c>
      <c r="AC1135" s="120">
        <v>1134</v>
      </c>
      <c r="AD1135" s="120">
        <v>2406</v>
      </c>
      <c r="AE1135" s="120">
        <v>-9999</v>
      </c>
      <c r="AF1135" s="120">
        <v>-9999</v>
      </c>
      <c r="AG1135" s="120">
        <v>-9999</v>
      </c>
    </row>
    <row r="1136" spans="1:33" x14ac:dyDescent="0.25">
      <c r="A1136" s="120">
        <v>1135</v>
      </c>
      <c r="B1136" s="120" t="b">
        <v>0</v>
      </c>
      <c r="C1136" s="120">
        <v>0</v>
      </c>
      <c r="D1136" s="61">
        <v>5</v>
      </c>
      <c r="E1136" s="120">
        <v>1</v>
      </c>
      <c r="F1136" s="120" t="s">
        <v>172</v>
      </c>
      <c r="G1136" s="55">
        <v>40</v>
      </c>
      <c r="H1136" s="120">
        <v>176</v>
      </c>
      <c r="I1136" s="57">
        <v>150</v>
      </c>
      <c r="J1136" s="120">
        <v>160</v>
      </c>
      <c r="K1136" s="120">
        <v>4</v>
      </c>
      <c r="L1136" s="120">
        <v>100</v>
      </c>
      <c r="M1136" s="120">
        <v>-9999</v>
      </c>
      <c r="N1136" s="120">
        <v>-9999</v>
      </c>
      <c r="O1136" s="120">
        <v>2</v>
      </c>
      <c r="P1136" s="120">
        <v>-9999</v>
      </c>
      <c r="Q1136" s="120">
        <v>42</v>
      </c>
      <c r="R1136" s="120">
        <v>34.700000762939503</v>
      </c>
      <c r="S1136" s="148">
        <v>19.799999237060501</v>
      </c>
      <c r="T1136" s="120">
        <v>-9999</v>
      </c>
      <c r="U1136" s="120">
        <v>15</v>
      </c>
      <c r="V1136" s="120">
        <v>-9999</v>
      </c>
      <c r="W1136" s="120">
        <v>-9999</v>
      </c>
      <c r="X1136" s="120">
        <v>-9999</v>
      </c>
      <c r="Y1136" s="120">
        <v>-9999</v>
      </c>
      <c r="Z1136" s="120">
        <v>-9999</v>
      </c>
      <c r="AA1136" s="120">
        <v>68</v>
      </c>
      <c r="AB1136" s="120">
        <v>14.5</v>
      </c>
      <c r="AC1136" s="120">
        <v>1135</v>
      </c>
      <c r="AD1136" s="120">
        <v>2407</v>
      </c>
      <c r="AE1136" s="120">
        <v>-9999</v>
      </c>
      <c r="AF1136" s="120">
        <v>-9999</v>
      </c>
      <c r="AG1136" s="120">
        <v>-9999</v>
      </c>
    </row>
    <row r="1137" spans="1:33" x14ac:dyDescent="0.25">
      <c r="A1137" s="120">
        <v>1136</v>
      </c>
      <c r="B1137" s="120" t="b">
        <v>0</v>
      </c>
      <c r="C1137" s="120">
        <v>0</v>
      </c>
      <c r="D1137" s="61">
        <v>5</v>
      </c>
      <c r="E1137" s="120">
        <v>1</v>
      </c>
      <c r="F1137" s="120" t="s">
        <v>173</v>
      </c>
      <c r="G1137" s="55">
        <v>50</v>
      </c>
      <c r="H1137" s="120">
        <v>281</v>
      </c>
      <c r="I1137" s="57">
        <v>80</v>
      </c>
      <c r="J1137" s="120">
        <v>90</v>
      </c>
      <c r="K1137" s="120">
        <v>4</v>
      </c>
      <c r="L1137" s="120">
        <v>100</v>
      </c>
      <c r="M1137" s="120">
        <v>-9999</v>
      </c>
      <c r="N1137" s="120">
        <v>-9999</v>
      </c>
      <c r="O1137" s="120">
        <v>2</v>
      </c>
      <c r="P1137" s="120">
        <v>-9999</v>
      </c>
      <c r="Q1137" s="120">
        <v>52.5</v>
      </c>
      <c r="R1137" s="120">
        <v>42.700000762939503</v>
      </c>
      <c r="S1137" s="148">
        <v>15.199999809265099</v>
      </c>
      <c r="T1137" s="120">
        <v>-9999</v>
      </c>
      <c r="U1137" s="120">
        <v>15</v>
      </c>
      <c r="V1137" s="120">
        <v>-9999</v>
      </c>
      <c r="W1137" s="120">
        <v>-9999</v>
      </c>
      <c r="X1137" s="120">
        <v>-9999</v>
      </c>
      <c r="Y1137" s="120">
        <v>-9999</v>
      </c>
      <c r="Z1137" s="120">
        <v>-9999</v>
      </c>
      <c r="AA1137" s="120">
        <v>68</v>
      </c>
      <c r="AB1137" s="120">
        <v>14.5</v>
      </c>
      <c r="AC1137" s="120">
        <v>1136</v>
      </c>
      <c r="AD1137" s="120">
        <v>2408</v>
      </c>
      <c r="AE1137" s="120">
        <v>-9999</v>
      </c>
      <c r="AF1137" s="120">
        <v>-9999</v>
      </c>
      <c r="AG1137" s="120">
        <v>-9999</v>
      </c>
    </row>
    <row r="1138" spans="1:33" x14ac:dyDescent="0.25">
      <c r="A1138" s="120">
        <v>1137</v>
      </c>
      <c r="B1138" s="120" t="b">
        <v>0</v>
      </c>
      <c r="C1138" s="120">
        <v>0</v>
      </c>
      <c r="D1138" s="61">
        <v>5</v>
      </c>
      <c r="E1138" s="120">
        <v>1</v>
      </c>
      <c r="F1138" s="120" t="s">
        <v>173</v>
      </c>
      <c r="G1138" s="55">
        <v>50</v>
      </c>
      <c r="H1138" s="120">
        <v>256</v>
      </c>
      <c r="I1138" s="57">
        <v>100</v>
      </c>
      <c r="J1138" s="120">
        <v>110</v>
      </c>
      <c r="K1138" s="120">
        <v>4</v>
      </c>
      <c r="L1138" s="120">
        <v>100</v>
      </c>
      <c r="M1138" s="120">
        <v>-9999</v>
      </c>
      <c r="N1138" s="120">
        <v>-9999</v>
      </c>
      <c r="O1138" s="120">
        <v>2</v>
      </c>
      <c r="P1138" s="120">
        <v>-9999</v>
      </c>
      <c r="Q1138" s="120">
        <v>52.5</v>
      </c>
      <c r="R1138" s="120">
        <v>42.700000762939503</v>
      </c>
      <c r="S1138" s="148">
        <v>16.700000762939499</v>
      </c>
      <c r="T1138" s="120">
        <v>-9999</v>
      </c>
      <c r="U1138" s="120">
        <v>15</v>
      </c>
      <c r="V1138" s="120">
        <v>-9999</v>
      </c>
      <c r="W1138" s="120">
        <v>-9999</v>
      </c>
      <c r="X1138" s="120">
        <v>-9999</v>
      </c>
      <c r="Y1138" s="120">
        <v>-9999</v>
      </c>
      <c r="Z1138" s="120">
        <v>-9999</v>
      </c>
      <c r="AA1138" s="120">
        <v>68</v>
      </c>
      <c r="AB1138" s="120">
        <v>14.5</v>
      </c>
      <c r="AC1138" s="120">
        <v>1137</v>
      </c>
      <c r="AD1138" s="120">
        <v>2409</v>
      </c>
      <c r="AE1138" s="120">
        <v>-9999</v>
      </c>
      <c r="AF1138" s="120">
        <v>-9999</v>
      </c>
      <c r="AG1138" s="120">
        <v>-9999</v>
      </c>
    </row>
    <row r="1139" spans="1:33" x14ac:dyDescent="0.25">
      <c r="A1139" s="120">
        <v>1138</v>
      </c>
      <c r="B1139" s="120" t="b">
        <v>0</v>
      </c>
      <c r="C1139" s="120">
        <v>0</v>
      </c>
      <c r="D1139" s="61">
        <v>5</v>
      </c>
      <c r="E1139" s="120">
        <v>1</v>
      </c>
      <c r="F1139" s="120" t="s">
        <v>173</v>
      </c>
      <c r="G1139" s="55">
        <v>50</v>
      </c>
      <c r="H1139" s="120">
        <v>246</v>
      </c>
      <c r="I1139" s="57">
        <v>110</v>
      </c>
      <c r="J1139" s="120">
        <v>120</v>
      </c>
      <c r="K1139" s="120">
        <v>4</v>
      </c>
      <c r="L1139" s="120">
        <v>100</v>
      </c>
      <c r="M1139" s="120">
        <v>-9999</v>
      </c>
      <c r="N1139" s="120">
        <v>-9999</v>
      </c>
      <c r="O1139" s="120">
        <v>2</v>
      </c>
      <c r="P1139" s="120">
        <v>-9999</v>
      </c>
      <c r="Q1139" s="120">
        <v>52.5</v>
      </c>
      <c r="R1139" s="120">
        <v>42.700000762939503</v>
      </c>
      <c r="S1139" s="148">
        <v>17.299999237060501</v>
      </c>
      <c r="T1139" s="120">
        <v>-9999</v>
      </c>
      <c r="U1139" s="120">
        <v>15</v>
      </c>
      <c r="V1139" s="120">
        <v>-9999</v>
      </c>
      <c r="W1139" s="120">
        <v>-9999</v>
      </c>
      <c r="X1139" s="120">
        <v>-9999</v>
      </c>
      <c r="Y1139" s="120">
        <v>-9999</v>
      </c>
      <c r="Z1139" s="120">
        <v>-9999</v>
      </c>
      <c r="AA1139" s="120">
        <v>68</v>
      </c>
      <c r="AB1139" s="120">
        <v>14.5</v>
      </c>
      <c r="AC1139" s="120">
        <v>1138</v>
      </c>
      <c r="AD1139" s="120">
        <v>2410</v>
      </c>
      <c r="AE1139" s="120">
        <v>-9999</v>
      </c>
      <c r="AF1139" s="120">
        <v>-9999</v>
      </c>
      <c r="AG1139" s="120">
        <v>-9999</v>
      </c>
    </row>
    <row r="1140" spans="1:33" x14ac:dyDescent="0.25">
      <c r="A1140" s="120">
        <v>1139</v>
      </c>
      <c r="B1140" s="120" t="b">
        <v>0</v>
      </c>
      <c r="C1140" s="120">
        <v>0</v>
      </c>
      <c r="D1140" s="61">
        <v>5</v>
      </c>
      <c r="E1140" s="120">
        <v>1</v>
      </c>
      <c r="F1140" s="120" t="s">
        <v>173</v>
      </c>
      <c r="G1140" s="55">
        <v>50</v>
      </c>
      <c r="H1140" s="120">
        <v>234</v>
      </c>
      <c r="I1140" s="57">
        <v>125</v>
      </c>
      <c r="J1140" s="120">
        <v>135</v>
      </c>
      <c r="K1140" s="120">
        <v>4</v>
      </c>
      <c r="L1140" s="120">
        <v>100</v>
      </c>
      <c r="M1140" s="120">
        <v>-9999</v>
      </c>
      <c r="N1140" s="120">
        <v>-9999</v>
      </c>
      <c r="O1140" s="120">
        <v>2</v>
      </c>
      <c r="P1140" s="120">
        <v>-9999</v>
      </c>
      <c r="Q1140" s="120">
        <v>52.5</v>
      </c>
      <c r="R1140" s="120">
        <v>42.700000762939503</v>
      </c>
      <c r="S1140" s="148">
        <v>18.200000762939499</v>
      </c>
      <c r="T1140" s="120">
        <v>-9999</v>
      </c>
      <c r="U1140" s="120">
        <v>15</v>
      </c>
      <c r="V1140" s="120">
        <v>-9999</v>
      </c>
      <c r="W1140" s="120">
        <v>-9999</v>
      </c>
      <c r="X1140" s="120">
        <v>-9999</v>
      </c>
      <c r="Y1140" s="120">
        <v>-9999</v>
      </c>
      <c r="Z1140" s="120">
        <v>-9999</v>
      </c>
      <c r="AA1140" s="120">
        <v>68</v>
      </c>
      <c r="AB1140" s="120">
        <v>14.5</v>
      </c>
      <c r="AC1140" s="120">
        <v>1139</v>
      </c>
      <c r="AD1140" s="120">
        <v>2411</v>
      </c>
      <c r="AE1140" s="120">
        <v>-9999</v>
      </c>
      <c r="AF1140" s="120">
        <v>-9999</v>
      </c>
      <c r="AG1140" s="120">
        <v>-9999</v>
      </c>
    </row>
    <row r="1141" spans="1:33" x14ac:dyDescent="0.25">
      <c r="A1141" s="120">
        <v>1140</v>
      </c>
      <c r="B1141" s="120" t="b">
        <v>0</v>
      </c>
      <c r="C1141" s="120">
        <v>0</v>
      </c>
      <c r="D1141" s="61">
        <v>5</v>
      </c>
      <c r="E1141" s="120">
        <v>1</v>
      </c>
      <c r="F1141" s="120" t="s">
        <v>173</v>
      </c>
      <c r="G1141" s="55">
        <v>50</v>
      </c>
      <c r="H1141" s="120">
        <v>227</v>
      </c>
      <c r="I1141" s="57">
        <v>135</v>
      </c>
      <c r="J1141" s="120">
        <v>145</v>
      </c>
      <c r="K1141" s="120">
        <v>4</v>
      </c>
      <c r="L1141" s="120">
        <v>100</v>
      </c>
      <c r="M1141" s="120">
        <v>-9999</v>
      </c>
      <c r="N1141" s="120">
        <v>-9999</v>
      </c>
      <c r="O1141" s="120">
        <v>2</v>
      </c>
      <c r="P1141" s="120">
        <v>-9999</v>
      </c>
      <c r="Q1141" s="120">
        <v>52.5</v>
      </c>
      <c r="R1141" s="120">
        <v>42.700000762939503</v>
      </c>
      <c r="S1141" s="148">
        <v>18.799999237060501</v>
      </c>
      <c r="T1141" s="120">
        <v>-9999</v>
      </c>
      <c r="U1141" s="120">
        <v>15</v>
      </c>
      <c r="V1141" s="120">
        <v>-9999</v>
      </c>
      <c r="W1141" s="120">
        <v>-9999</v>
      </c>
      <c r="X1141" s="120">
        <v>-9999</v>
      </c>
      <c r="Y1141" s="120">
        <v>-9999</v>
      </c>
      <c r="Z1141" s="120">
        <v>-9999</v>
      </c>
      <c r="AA1141" s="120">
        <v>68</v>
      </c>
      <c r="AB1141" s="120">
        <v>14.5</v>
      </c>
      <c r="AC1141" s="120">
        <v>1140</v>
      </c>
      <c r="AD1141" s="120">
        <v>2412</v>
      </c>
      <c r="AE1141" s="120">
        <v>-9999</v>
      </c>
      <c r="AF1141" s="120">
        <v>-9999</v>
      </c>
      <c r="AG1141" s="120">
        <v>-9999</v>
      </c>
    </row>
    <row r="1142" spans="1:33" x14ac:dyDescent="0.25">
      <c r="A1142" s="120">
        <v>1141</v>
      </c>
      <c r="B1142" s="120" t="b">
        <v>0</v>
      </c>
      <c r="C1142" s="120">
        <v>0</v>
      </c>
      <c r="D1142" s="61">
        <v>5</v>
      </c>
      <c r="E1142" s="120">
        <v>1</v>
      </c>
      <c r="F1142" s="120" t="s">
        <v>173</v>
      </c>
      <c r="G1142" s="55">
        <v>50</v>
      </c>
      <c r="H1142" s="120">
        <v>220</v>
      </c>
      <c r="I1142" s="57">
        <v>150</v>
      </c>
      <c r="J1142" s="120">
        <v>160</v>
      </c>
      <c r="K1142" s="120">
        <v>4</v>
      </c>
      <c r="L1142" s="120">
        <v>100</v>
      </c>
      <c r="M1142" s="120">
        <v>-9999</v>
      </c>
      <c r="N1142" s="120">
        <v>-9999</v>
      </c>
      <c r="O1142" s="120">
        <v>2</v>
      </c>
      <c r="P1142" s="120">
        <v>-9999</v>
      </c>
      <c r="Q1142" s="120">
        <v>52.5</v>
      </c>
      <c r="R1142" s="120">
        <v>42.700000762939503</v>
      </c>
      <c r="S1142" s="148">
        <v>19.399999618530298</v>
      </c>
      <c r="T1142" s="120">
        <v>-9999</v>
      </c>
      <c r="U1142" s="120">
        <v>15</v>
      </c>
      <c r="V1142" s="120">
        <v>-9999</v>
      </c>
      <c r="W1142" s="120">
        <v>-9999</v>
      </c>
      <c r="X1142" s="120">
        <v>-9999</v>
      </c>
      <c r="Y1142" s="120">
        <v>-9999</v>
      </c>
      <c r="Z1142" s="120">
        <v>-9999</v>
      </c>
      <c r="AA1142" s="120">
        <v>68</v>
      </c>
      <c r="AB1142" s="120">
        <v>14.5</v>
      </c>
      <c r="AC1142" s="120">
        <v>1141</v>
      </c>
      <c r="AD1142" s="120">
        <v>2413</v>
      </c>
      <c r="AE1142" s="120">
        <v>-9999</v>
      </c>
      <c r="AF1142" s="120">
        <v>-9999</v>
      </c>
      <c r="AG1142" s="120">
        <v>-9999</v>
      </c>
    </row>
    <row r="1143" spans="1:33" x14ac:dyDescent="0.25">
      <c r="A1143" s="120">
        <v>1142</v>
      </c>
      <c r="B1143" s="120" t="b">
        <v>0</v>
      </c>
      <c r="C1143" s="120">
        <v>0</v>
      </c>
      <c r="D1143" s="61">
        <v>5</v>
      </c>
      <c r="E1143" s="120">
        <v>1</v>
      </c>
      <c r="F1143" s="120" t="s">
        <v>174</v>
      </c>
      <c r="G1143" s="55">
        <v>60</v>
      </c>
      <c r="H1143" s="120">
        <v>337</v>
      </c>
      <c r="I1143" s="57">
        <v>80</v>
      </c>
      <c r="J1143" s="120">
        <v>90</v>
      </c>
      <c r="K1143" s="120">
        <v>4</v>
      </c>
      <c r="L1143" s="120">
        <v>100</v>
      </c>
      <c r="M1143" s="120">
        <v>-9999</v>
      </c>
      <c r="N1143" s="120">
        <v>-9999</v>
      </c>
      <c r="O1143" s="120">
        <v>2</v>
      </c>
      <c r="P1143" s="120">
        <v>-9999</v>
      </c>
      <c r="Q1143" s="120">
        <v>63</v>
      </c>
      <c r="R1143" s="120">
        <v>51.299999237060497</v>
      </c>
      <c r="S1143" s="148">
        <v>15.199999809265099</v>
      </c>
      <c r="T1143" s="120">
        <v>-9999</v>
      </c>
      <c r="U1143" s="120">
        <v>15</v>
      </c>
      <c r="V1143" s="120">
        <v>-9999</v>
      </c>
      <c r="W1143" s="120">
        <v>-9999</v>
      </c>
      <c r="X1143" s="120">
        <v>-9999</v>
      </c>
      <c r="Y1143" s="120">
        <v>-9999</v>
      </c>
      <c r="Z1143" s="120">
        <v>-9999</v>
      </c>
      <c r="AA1143" s="120">
        <v>68</v>
      </c>
      <c r="AB1143" s="120">
        <v>14.5</v>
      </c>
      <c r="AC1143" s="120">
        <v>1142</v>
      </c>
      <c r="AD1143" s="120">
        <v>2414</v>
      </c>
      <c r="AE1143" s="120">
        <v>-9999</v>
      </c>
      <c r="AF1143" s="120">
        <v>-9999</v>
      </c>
      <c r="AG1143" s="120">
        <v>-9999</v>
      </c>
    </row>
    <row r="1144" spans="1:33" x14ac:dyDescent="0.25">
      <c r="A1144" s="120">
        <v>1143</v>
      </c>
      <c r="B1144" s="120" t="b">
        <v>0</v>
      </c>
      <c r="C1144" s="120">
        <v>0</v>
      </c>
      <c r="D1144" s="61">
        <v>5</v>
      </c>
      <c r="E1144" s="120">
        <v>1</v>
      </c>
      <c r="F1144" s="120" t="s">
        <v>174</v>
      </c>
      <c r="G1144" s="55">
        <v>60</v>
      </c>
      <c r="H1144" s="120">
        <v>307</v>
      </c>
      <c r="I1144" s="57">
        <v>100</v>
      </c>
      <c r="J1144" s="120">
        <v>110</v>
      </c>
      <c r="K1144" s="120">
        <v>4</v>
      </c>
      <c r="L1144" s="120">
        <v>100</v>
      </c>
      <c r="M1144" s="120">
        <v>-9999</v>
      </c>
      <c r="N1144" s="120">
        <v>-9999</v>
      </c>
      <c r="O1144" s="120">
        <v>2</v>
      </c>
      <c r="P1144" s="120">
        <v>-9999</v>
      </c>
      <c r="Q1144" s="120">
        <v>63</v>
      </c>
      <c r="R1144" s="120">
        <v>51.299999237060497</v>
      </c>
      <c r="S1144" s="148">
        <v>16.700000762939499</v>
      </c>
      <c r="T1144" s="120">
        <v>-9999</v>
      </c>
      <c r="U1144" s="120">
        <v>15</v>
      </c>
      <c r="V1144" s="120">
        <v>-9999</v>
      </c>
      <c r="W1144" s="120">
        <v>-9999</v>
      </c>
      <c r="X1144" s="120">
        <v>-9999</v>
      </c>
      <c r="Y1144" s="120">
        <v>-9999</v>
      </c>
      <c r="Z1144" s="120">
        <v>-9999</v>
      </c>
      <c r="AA1144" s="120">
        <v>68</v>
      </c>
      <c r="AB1144" s="120">
        <v>14.5</v>
      </c>
      <c r="AC1144" s="120">
        <v>1143</v>
      </c>
      <c r="AD1144" s="120">
        <v>2415</v>
      </c>
      <c r="AE1144" s="120">
        <v>-9999</v>
      </c>
      <c r="AF1144" s="120">
        <v>-9999</v>
      </c>
      <c r="AG1144" s="120">
        <v>-9999</v>
      </c>
    </row>
    <row r="1145" spans="1:33" x14ac:dyDescent="0.25">
      <c r="A1145" s="120">
        <v>1144</v>
      </c>
      <c r="B1145" s="120" t="b">
        <v>0</v>
      </c>
      <c r="C1145" s="120">
        <v>0</v>
      </c>
      <c r="D1145" s="61">
        <v>5</v>
      </c>
      <c r="E1145" s="120">
        <v>1</v>
      </c>
      <c r="F1145" s="120" t="s">
        <v>174</v>
      </c>
      <c r="G1145" s="55">
        <v>60</v>
      </c>
      <c r="H1145" s="120">
        <v>296</v>
      </c>
      <c r="I1145" s="57">
        <v>110</v>
      </c>
      <c r="J1145" s="120">
        <v>120</v>
      </c>
      <c r="K1145" s="120">
        <v>4</v>
      </c>
      <c r="L1145" s="120">
        <v>100</v>
      </c>
      <c r="M1145" s="120">
        <v>-9999</v>
      </c>
      <c r="N1145" s="120">
        <v>-9999</v>
      </c>
      <c r="O1145" s="120">
        <v>2</v>
      </c>
      <c r="P1145" s="120">
        <v>-9999</v>
      </c>
      <c r="Q1145" s="120">
        <v>63</v>
      </c>
      <c r="R1145" s="120">
        <v>51.299999237060497</v>
      </c>
      <c r="S1145" s="148">
        <v>17.299999237060501</v>
      </c>
      <c r="T1145" s="120">
        <v>-9999</v>
      </c>
      <c r="U1145" s="120">
        <v>15</v>
      </c>
      <c r="V1145" s="120">
        <v>-9999</v>
      </c>
      <c r="W1145" s="120">
        <v>-9999</v>
      </c>
      <c r="X1145" s="120">
        <v>-9999</v>
      </c>
      <c r="Y1145" s="120">
        <v>-9999</v>
      </c>
      <c r="Z1145" s="120">
        <v>-9999</v>
      </c>
      <c r="AA1145" s="120">
        <v>68</v>
      </c>
      <c r="AB1145" s="120">
        <v>14.5</v>
      </c>
      <c r="AC1145" s="120">
        <v>1144</v>
      </c>
      <c r="AD1145" s="120">
        <v>2416</v>
      </c>
      <c r="AE1145" s="120">
        <v>-9999</v>
      </c>
      <c r="AF1145" s="120">
        <v>-9999</v>
      </c>
      <c r="AG1145" s="120">
        <v>-9999</v>
      </c>
    </row>
    <row r="1146" spans="1:33" x14ac:dyDescent="0.25">
      <c r="A1146" s="120">
        <v>1145</v>
      </c>
      <c r="B1146" s="120" t="b">
        <v>0</v>
      </c>
      <c r="C1146" s="120">
        <v>0</v>
      </c>
      <c r="D1146" s="61">
        <v>5</v>
      </c>
      <c r="E1146" s="120">
        <v>1</v>
      </c>
      <c r="F1146" s="120" t="s">
        <v>174</v>
      </c>
      <c r="G1146" s="55">
        <v>60</v>
      </c>
      <c r="H1146" s="120">
        <v>281</v>
      </c>
      <c r="I1146" s="57">
        <v>125</v>
      </c>
      <c r="J1146" s="120">
        <v>135</v>
      </c>
      <c r="K1146" s="120">
        <v>4</v>
      </c>
      <c r="L1146" s="120">
        <v>100</v>
      </c>
      <c r="M1146" s="120">
        <v>-9999</v>
      </c>
      <c r="N1146" s="120">
        <v>-9999</v>
      </c>
      <c r="O1146" s="120">
        <v>2</v>
      </c>
      <c r="P1146" s="120">
        <v>-9999</v>
      </c>
      <c r="Q1146" s="120">
        <v>63</v>
      </c>
      <c r="R1146" s="120">
        <v>51.299999237060497</v>
      </c>
      <c r="S1146" s="148">
        <v>18.200000762939499</v>
      </c>
      <c r="T1146" s="120">
        <v>-9999</v>
      </c>
      <c r="U1146" s="120">
        <v>15</v>
      </c>
      <c r="V1146" s="120">
        <v>-9999</v>
      </c>
      <c r="W1146" s="120">
        <v>-9999</v>
      </c>
      <c r="X1146" s="120">
        <v>-9999</v>
      </c>
      <c r="Y1146" s="120">
        <v>-9999</v>
      </c>
      <c r="Z1146" s="120">
        <v>-9999</v>
      </c>
      <c r="AA1146" s="120">
        <v>68</v>
      </c>
      <c r="AB1146" s="120">
        <v>14.5</v>
      </c>
      <c r="AC1146" s="120">
        <v>1145</v>
      </c>
      <c r="AD1146" s="120">
        <v>2417</v>
      </c>
      <c r="AE1146" s="120">
        <v>-9999</v>
      </c>
      <c r="AF1146" s="120">
        <v>-9999</v>
      </c>
      <c r="AG1146" s="120">
        <v>-9999</v>
      </c>
    </row>
    <row r="1147" spans="1:33" x14ac:dyDescent="0.25">
      <c r="A1147" s="120">
        <v>1146</v>
      </c>
      <c r="B1147" s="120" t="b">
        <v>0</v>
      </c>
      <c r="C1147" s="120">
        <v>0</v>
      </c>
      <c r="D1147" s="61">
        <v>5</v>
      </c>
      <c r="E1147" s="120">
        <v>1</v>
      </c>
      <c r="F1147" s="120" t="s">
        <v>174</v>
      </c>
      <c r="G1147" s="55">
        <v>60</v>
      </c>
      <c r="H1147" s="120">
        <v>273</v>
      </c>
      <c r="I1147" s="57">
        <v>135</v>
      </c>
      <c r="J1147" s="120">
        <v>145</v>
      </c>
      <c r="K1147" s="120">
        <v>4</v>
      </c>
      <c r="L1147" s="120">
        <v>100</v>
      </c>
      <c r="M1147" s="120">
        <v>-9999</v>
      </c>
      <c r="N1147" s="120">
        <v>-9999</v>
      </c>
      <c r="O1147" s="120">
        <v>2</v>
      </c>
      <c r="P1147" s="120">
        <v>-9999</v>
      </c>
      <c r="Q1147" s="120">
        <v>63</v>
      </c>
      <c r="R1147" s="120">
        <v>51.299999237060497</v>
      </c>
      <c r="S1147" s="148">
        <v>18.799999237060501</v>
      </c>
      <c r="T1147" s="120">
        <v>-9999</v>
      </c>
      <c r="U1147" s="120">
        <v>15</v>
      </c>
      <c r="V1147" s="120">
        <v>-9999</v>
      </c>
      <c r="W1147" s="120">
        <v>-9999</v>
      </c>
      <c r="X1147" s="120">
        <v>-9999</v>
      </c>
      <c r="Y1147" s="120">
        <v>-9999</v>
      </c>
      <c r="Z1147" s="120">
        <v>-9999</v>
      </c>
      <c r="AA1147" s="120">
        <v>68</v>
      </c>
      <c r="AB1147" s="120">
        <v>14.5</v>
      </c>
      <c r="AC1147" s="120">
        <v>1146</v>
      </c>
      <c r="AD1147" s="120">
        <v>2418</v>
      </c>
      <c r="AE1147" s="120">
        <v>-9999</v>
      </c>
      <c r="AF1147" s="120">
        <v>-9999</v>
      </c>
      <c r="AG1147" s="120">
        <v>-9999</v>
      </c>
    </row>
    <row r="1148" spans="1:33" x14ac:dyDescent="0.25">
      <c r="A1148" s="120">
        <v>1147</v>
      </c>
      <c r="B1148" s="120" t="b">
        <v>0</v>
      </c>
      <c r="C1148" s="120">
        <v>0</v>
      </c>
      <c r="D1148" s="61">
        <v>5</v>
      </c>
      <c r="E1148" s="120">
        <v>1</v>
      </c>
      <c r="F1148" s="120" t="s">
        <v>174</v>
      </c>
      <c r="G1148" s="55">
        <v>60</v>
      </c>
      <c r="H1148" s="120">
        <v>264</v>
      </c>
      <c r="I1148" s="57">
        <v>150</v>
      </c>
      <c r="J1148" s="120">
        <v>160</v>
      </c>
      <c r="K1148" s="120">
        <v>4</v>
      </c>
      <c r="L1148" s="120">
        <v>100</v>
      </c>
      <c r="M1148" s="120">
        <v>-9999</v>
      </c>
      <c r="N1148" s="120">
        <v>-9999</v>
      </c>
      <c r="O1148" s="120">
        <v>2</v>
      </c>
      <c r="P1148" s="120">
        <v>-9999</v>
      </c>
      <c r="Q1148" s="120">
        <v>63</v>
      </c>
      <c r="R1148" s="120">
        <v>51.299999237060497</v>
      </c>
      <c r="S1148" s="148">
        <v>19.399999618530298</v>
      </c>
      <c r="T1148" s="120">
        <v>-9999</v>
      </c>
      <c r="U1148" s="120">
        <v>15</v>
      </c>
      <c r="V1148" s="120">
        <v>-9999</v>
      </c>
      <c r="W1148" s="120">
        <v>-9999</v>
      </c>
      <c r="X1148" s="120">
        <v>-9999</v>
      </c>
      <c r="Y1148" s="120">
        <v>-9999</v>
      </c>
      <c r="Z1148" s="120">
        <v>-9999</v>
      </c>
      <c r="AA1148" s="120">
        <v>68</v>
      </c>
      <c r="AB1148" s="120">
        <v>14.5</v>
      </c>
      <c r="AC1148" s="120">
        <v>1147</v>
      </c>
      <c r="AD1148" s="120">
        <v>2419</v>
      </c>
      <c r="AE1148" s="120">
        <v>-9999</v>
      </c>
      <c r="AF1148" s="120">
        <v>-9999</v>
      </c>
      <c r="AG1148" s="120">
        <v>-9999</v>
      </c>
    </row>
    <row r="1149" spans="1:33" x14ac:dyDescent="0.25">
      <c r="A1149" s="120">
        <v>1148</v>
      </c>
      <c r="B1149" s="120" t="b">
        <v>0</v>
      </c>
      <c r="C1149" s="120">
        <v>0</v>
      </c>
      <c r="D1149" s="61">
        <v>5</v>
      </c>
      <c r="E1149" s="120">
        <v>1</v>
      </c>
      <c r="F1149" s="120" t="s">
        <v>175</v>
      </c>
      <c r="G1149" s="55">
        <v>75</v>
      </c>
      <c r="H1149" s="120">
        <v>463</v>
      </c>
      <c r="I1149" s="57">
        <v>80</v>
      </c>
      <c r="J1149" s="120">
        <v>90</v>
      </c>
      <c r="K1149" s="120">
        <v>4</v>
      </c>
      <c r="L1149" s="120">
        <v>100</v>
      </c>
      <c r="M1149" s="120">
        <v>-9999</v>
      </c>
      <c r="N1149" s="120">
        <v>-9999</v>
      </c>
      <c r="O1149" s="120">
        <v>2</v>
      </c>
      <c r="P1149" s="120">
        <v>-9999</v>
      </c>
      <c r="Q1149" s="120">
        <v>78.800003051757798</v>
      </c>
      <c r="R1149" s="120">
        <v>64.099998474121094</v>
      </c>
      <c r="S1149" s="148">
        <v>13.800000190734901</v>
      </c>
      <c r="T1149" s="120">
        <v>-9999</v>
      </c>
      <c r="U1149" s="120">
        <v>15</v>
      </c>
      <c r="V1149" s="120">
        <v>-9999</v>
      </c>
      <c r="W1149" s="120">
        <v>-9999</v>
      </c>
      <c r="X1149" s="120">
        <v>-9999</v>
      </c>
      <c r="Y1149" s="120">
        <v>-9999</v>
      </c>
      <c r="Z1149" s="120">
        <v>-9999</v>
      </c>
      <c r="AA1149" s="120">
        <v>68</v>
      </c>
      <c r="AB1149" s="120">
        <v>14.5</v>
      </c>
      <c r="AC1149" s="120">
        <v>1148</v>
      </c>
      <c r="AD1149" s="120">
        <v>2420</v>
      </c>
      <c r="AE1149" s="120">
        <v>-9999</v>
      </c>
      <c r="AF1149" s="120">
        <v>-9999</v>
      </c>
      <c r="AG1149" s="120">
        <v>-9999</v>
      </c>
    </row>
    <row r="1150" spans="1:33" x14ac:dyDescent="0.25">
      <c r="A1150" s="120">
        <v>1149</v>
      </c>
      <c r="B1150" s="120" t="b">
        <v>0</v>
      </c>
      <c r="C1150" s="120">
        <v>0</v>
      </c>
      <c r="D1150" s="61">
        <v>5</v>
      </c>
      <c r="E1150" s="120">
        <v>1</v>
      </c>
      <c r="F1150" s="120" t="s">
        <v>175</v>
      </c>
      <c r="G1150" s="55">
        <v>75</v>
      </c>
      <c r="H1150" s="120">
        <v>463</v>
      </c>
      <c r="I1150" s="57">
        <v>80</v>
      </c>
      <c r="J1150" s="120">
        <v>90</v>
      </c>
      <c r="K1150" s="120">
        <v>5</v>
      </c>
      <c r="L1150" s="120">
        <v>100</v>
      </c>
      <c r="M1150" s="120">
        <v>-9999</v>
      </c>
      <c r="N1150" s="120">
        <v>-9999</v>
      </c>
      <c r="O1150" s="120">
        <v>3</v>
      </c>
      <c r="P1150" s="120">
        <v>-9999</v>
      </c>
      <c r="Q1150" s="120">
        <v>78.800003051757798</v>
      </c>
      <c r="R1150" s="120">
        <v>64.099998474121094</v>
      </c>
      <c r="S1150" s="148">
        <v>13.800000190734901</v>
      </c>
      <c r="T1150" s="120">
        <v>-9999</v>
      </c>
      <c r="U1150" s="120">
        <v>15</v>
      </c>
      <c r="V1150" s="120">
        <v>-9999</v>
      </c>
      <c r="W1150" s="120">
        <v>-9999</v>
      </c>
      <c r="X1150" s="120">
        <v>-9999</v>
      </c>
      <c r="Y1150" s="120">
        <v>-9999</v>
      </c>
      <c r="Z1150" s="120">
        <v>-9999</v>
      </c>
      <c r="AA1150" s="120">
        <v>68</v>
      </c>
      <c r="AB1150" s="120">
        <v>14.5</v>
      </c>
      <c r="AC1150" s="120">
        <v>1149</v>
      </c>
      <c r="AD1150" s="120">
        <v>2421</v>
      </c>
      <c r="AE1150" s="120">
        <v>-9999</v>
      </c>
      <c r="AF1150" s="120">
        <v>-9999</v>
      </c>
      <c r="AG1150" s="120">
        <v>-9999</v>
      </c>
    </row>
    <row r="1151" spans="1:33" x14ac:dyDescent="0.25">
      <c r="A1151" s="120">
        <v>1150</v>
      </c>
      <c r="B1151" s="120" t="b">
        <v>0</v>
      </c>
      <c r="C1151" s="120">
        <v>0</v>
      </c>
      <c r="D1151" s="61">
        <v>5</v>
      </c>
      <c r="E1151" s="120">
        <v>1</v>
      </c>
      <c r="F1151" s="120" t="s">
        <v>175</v>
      </c>
      <c r="G1151" s="55">
        <v>75</v>
      </c>
      <c r="H1151" s="120">
        <v>417</v>
      </c>
      <c r="I1151" s="57">
        <v>100</v>
      </c>
      <c r="J1151" s="120">
        <v>110</v>
      </c>
      <c r="K1151" s="120">
        <v>4</v>
      </c>
      <c r="L1151" s="120">
        <v>100</v>
      </c>
      <c r="M1151" s="120">
        <v>-9999</v>
      </c>
      <c r="N1151" s="120">
        <v>-9999</v>
      </c>
      <c r="O1151" s="120">
        <v>2</v>
      </c>
      <c r="P1151" s="120">
        <v>-9999</v>
      </c>
      <c r="Q1151" s="120">
        <v>78.800003051757798</v>
      </c>
      <c r="R1151" s="120">
        <v>64.099998474121094</v>
      </c>
      <c r="S1151" s="148">
        <v>15.3999996185303</v>
      </c>
      <c r="T1151" s="120">
        <v>-9999</v>
      </c>
      <c r="U1151" s="120">
        <v>15</v>
      </c>
      <c r="V1151" s="120">
        <v>-9999</v>
      </c>
      <c r="W1151" s="120">
        <v>-9999</v>
      </c>
      <c r="X1151" s="120">
        <v>-9999</v>
      </c>
      <c r="Y1151" s="120">
        <v>-9999</v>
      </c>
      <c r="Z1151" s="120">
        <v>-9999</v>
      </c>
      <c r="AA1151" s="120">
        <v>68</v>
      </c>
      <c r="AB1151" s="120">
        <v>14.5</v>
      </c>
      <c r="AC1151" s="120">
        <v>1150</v>
      </c>
      <c r="AD1151" s="120">
        <v>2422</v>
      </c>
      <c r="AE1151" s="120">
        <v>-9999</v>
      </c>
      <c r="AF1151" s="120">
        <v>-9999</v>
      </c>
      <c r="AG1151" s="120">
        <v>-9999</v>
      </c>
    </row>
    <row r="1152" spans="1:33" x14ac:dyDescent="0.25">
      <c r="A1152" s="120">
        <v>1151</v>
      </c>
      <c r="B1152" s="120" t="b">
        <v>0</v>
      </c>
      <c r="C1152" s="120">
        <v>0</v>
      </c>
      <c r="D1152" s="61">
        <v>5</v>
      </c>
      <c r="E1152" s="120">
        <v>1</v>
      </c>
      <c r="F1152" s="120" t="s">
        <v>175</v>
      </c>
      <c r="G1152" s="55">
        <v>75</v>
      </c>
      <c r="H1152" s="120">
        <v>417</v>
      </c>
      <c r="I1152" s="57">
        <v>100</v>
      </c>
      <c r="J1152" s="120">
        <v>110</v>
      </c>
      <c r="K1152" s="120">
        <v>5</v>
      </c>
      <c r="L1152" s="120">
        <v>100</v>
      </c>
      <c r="M1152" s="120">
        <v>-9999</v>
      </c>
      <c r="N1152" s="120">
        <v>-9999</v>
      </c>
      <c r="O1152" s="120">
        <v>3</v>
      </c>
      <c r="P1152" s="120">
        <v>-9999</v>
      </c>
      <c r="Q1152" s="120">
        <v>78.800003051757798</v>
      </c>
      <c r="R1152" s="120">
        <v>64.099998474121094</v>
      </c>
      <c r="S1152" s="148">
        <v>15.3999996185303</v>
      </c>
      <c r="T1152" s="120">
        <v>-9999</v>
      </c>
      <c r="U1152" s="120">
        <v>15</v>
      </c>
      <c r="V1152" s="120">
        <v>-9999</v>
      </c>
      <c r="W1152" s="120">
        <v>-9999</v>
      </c>
      <c r="X1152" s="120">
        <v>-9999</v>
      </c>
      <c r="Y1152" s="120">
        <v>-9999</v>
      </c>
      <c r="Z1152" s="120">
        <v>-9999</v>
      </c>
      <c r="AA1152" s="120">
        <v>68</v>
      </c>
      <c r="AB1152" s="120">
        <v>14.5</v>
      </c>
      <c r="AC1152" s="120">
        <v>1151</v>
      </c>
      <c r="AD1152" s="120">
        <v>2423</v>
      </c>
      <c r="AE1152" s="120">
        <v>-9999</v>
      </c>
      <c r="AF1152" s="120">
        <v>-9999</v>
      </c>
      <c r="AG1152" s="120">
        <v>-9999</v>
      </c>
    </row>
    <row r="1153" spans="1:33" x14ac:dyDescent="0.25">
      <c r="A1153" s="120">
        <v>1152</v>
      </c>
      <c r="B1153" s="120" t="b">
        <v>0</v>
      </c>
      <c r="C1153" s="120">
        <v>0</v>
      </c>
      <c r="D1153" s="61">
        <v>5</v>
      </c>
      <c r="E1153" s="120">
        <v>1</v>
      </c>
      <c r="F1153" s="120" t="s">
        <v>175</v>
      </c>
      <c r="G1153" s="55">
        <v>75</v>
      </c>
      <c r="H1153" s="120">
        <v>398</v>
      </c>
      <c r="I1153" s="57">
        <v>110</v>
      </c>
      <c r="J1153" s="120">
        <v>120</v>
      </c>
      <c r="K1153" s="120">
        <v>4</v>
      </c>
      <c r="L1153" s="120">
        <v>100</v>
      </c>
      <c r="M1153" s="120">
        <v>-9999</v>
      </c>
      <c r="N1153" s="120">
        <v>-9999</v>
      </c>
      <c r="O1153" s="120">
        <v>2</v>
      </c>
      <c r="P1153" s="120">
        <v>-9999</v>
      </c>
      <c r="Q1153" s="120">
        <v>78.800003051757798</v>
      </c>
      <c r="R1153" s="120">
        <v>64.099998474121094</v>
      </c>
      <c r="S1153" s="148">
        <v>16.100000381469702</v>
      </c>
      <c r="T1153" s="120">
        <v>-9999</v>
      </c>
      <c r="U1153" s="120">
        <v>15</v>
      </c>
      <c r="V1153" s="120">
        <v>-9999</v>
      </c>
      <c r="W1153" s="120">
        <v>-9999</v>
      </c>
      <c r="X1153" s="120">
        <v>-9999</v>
      </c>
      <c r="Y1153" s="120">
        <v>-9999</v>
      </c>
      <c r="Z1153" s="120">
        <v>-9999</v>
      </c>
      <c r="AA1153" s="120">
        <v>68</v>
      </c>
      <c r="AB1153" s="120">
        <v>14.5</v>
      </c>
      <c r="AC1153" s="120">
        <v>1152</v>
      </c>
      <c r="AD1153" s="120">
        <v>2424</v>
      </c>
      <c r="AE1153" s="120">
        <v>-9999</v>
      </c>
      <c r="AF1153" s="120">
        <v>-9999</v>
      </c>
      <c r="AG1153" s="120">
        <v>-9999</v>
      </c>
    </row>
    <row r="1154" spans="1:33" x14ac:dyDescent="0.25">
      <c r="A1154" s="120">
        <v>1153</v>
      </c>
      <c r="B1154" s="120" t="b">
        <v>0</v>
      </c>
      <c r="C1154" s="120">
        <v>0</v>
      </c>
      <c r="D1154" s="61">
        <v>5</v>
      </c>
      <c r="E1154" s="120">
        <v>1</v>
      </c>
      <c r="F1154" s="120" t="s">
        <v>175</v>
      </c>
      <c r="G1154" s="55">
        <v>75</v>
      </c>
      <c r="H1154" s="120">
        <v>398</v>
      </c>
      <c r="I1154" s="57">
        <v>110</v>
      </c>
      <c r="J1154" s="120">
        <v>120</v>
      </c>
      <c r="K1154" s="120">
        <v>5</v>
      </c>
      <c r="L1154" s="120">
        <v>100</v>
      </c>
      <c r="M1154" s="120">
        <v>-9999</v>
      </c>
      <c r="N1154" s="120">
        <v>-9999</v>
      </c>
      <c r="O1154" s="120">
        <v>3</v>
      </c>
      <c r="P1154" s="120">
        <v>-9999</v>
      </c>
      <c r="Q1154" s="120">
        <v>78.800003051757798</v>
      </c>
      <c r="R1154" s="120">
        <v>64.099998474121094</v>
      </c>
      <c r="S1154" s="148">
        <v>16.100000381469702</v>
      </c>
      <c r="T1154" s="120">
        <v>-9999</v>
      </c>
      <c r="U1154" s="120">
        <v>15</v>
      </c>
      <c r="V1154" s="120">
        <v>-9999</v>
      </c>
      <c r="W1154" s="120">
        <v>-9999</v>
      </c>
      <c r="X1154" s="120">
        <v>-9999</v>
      </c>
      <c r="Y1154" s="120">
        <v>-9999</v>
      </c>
      <c r="Z1154" s="120">
        <v>-9999</v>
      </c>
      <c r="AA1154" s="120">
        <v>68</v>
      </c>
      <c r="AB1154" s="120">
        <v>14.5</v>
      </c>
      <c r="AC1154" s="120">
        <v>1153</v>
      </c>
      <c r="AD1154" s="120">
        <v>2425</v>
      </c>
      <c r="AE1154" s="120">
        <v>-9999</v>
      </c>
      <c r="AF1154" s="120">
        <v>-9999</v>
      </c>
      <c r="AG1154" s="120">
        <v>-9999</v>
      </c>
    </row>
    <row r="1155" spans="1:33" x14ac:dyDescent="0.25">
      <c r="A1155" s="120">
        <v>1154</v>
      </c>
      <c r="B1155" s="120" t="b">
        <v>0</v>
      </c>
      <c r="C1155" s="120">
        <v>0</v>
      </c>
      <c r="D1155" s="61">
        <v>5</v>
      </c>
      <c r="E1155" s="120">
        <v>1</v>
      </c>
      <c r="F1155" s="120" t="s">
        <v>175</v>
      </c>
      <c r="G1155" s="55">
        <v>75</v>
      </c>
      <c r="H1155" s="120">
        <v>390</v>
      </c>
      <c r="I1155" s="57">
        <v>115</v>
      </c>
      <c r="J1155" s="120">
        <v>125</v>
      </c>
      <c r="K1155" s="120">
        <v>4</v>
      </c>
      <c r="L1155" s="120">
        <v>100</v>
      </c>
      <c r="M1155" s="120">
        <v>-9999</v>
      </c>
      <c r="N1155" s="120">
        <v>-9999</v>
      </c>
      <c r="O1155" s="120">
        <v>2</v>
      </c>
      <c r="P1155" s="120">
        <v>-9999</v>
      </c>
      <c r="Q1155" s="120">
        <v>78.800003051757798</v>
      </c>
      <c r="R1155" s="120">
        <v>64.099998474121094</v>
      </c>
      <c r="S1155" s="148">
        <v>16.399999618530298</v>
      </c>
      <c r="T1155" s="120">
        <v>-9999</v>
      </c>
      <c r="U1155" s="120">
        <v>15</v>
      </c>
      <c r="V1155" s="120">
        <v>-9999</v>
      </c>
      <c r="W1155" s="120">
        <v>-9999</v>
      </c>
      <c r="X1155" s="120">
        <v>-9999</v>
      </c>
      <c r="Y1155" s="120">
        <v>-9999</v>
      </c>
      <c r="Z1155" s="120">
        <v>-9999</v>
      </c>
      <c r="AA1155" s="120">
        <v>68</v>
      </c>
      <c r="AB1155" s="120">
        <v>14.5</v>
      </c>
      <c r="AC1155" s="120">
        <v>1154</v>
      </c>
      <c r="AD1155" s="120">
        <v>2426</v>
      </c>
      <c r="AE1155" s="120">
        <v>-9999</v>
      </c>
      <c r="AF1155" s="120">
        <v>-9999</v>
      </c>
      <c r="AG1155" s="120">
        <v>-9999</v>
      </c>
    </row>
    <row r="1156" spans="1:33" x14ac:dyDescent="0.25">
      <c r="A1156" s="120">
        <v>1155</v>
      </c>
      <c r="B1156" s="120" t="b">
        <v>0</v>
      </c>
      <c r="C1156" s="120">
        <v>0</v>
      </c>
      <c r="D1156" s="61">
        <v>5</v>
      </c>
      <c r="E1156" s="120">
        <v>1</v>
      </c>
      <c r="F1156" s="120" t="s">
        <v>175</v>
      </c>
      <c r="G1156" s="55">
        <v>75</v>
      </c>
      <c r="H1156" s="120">
        <v>390</v>
      </c>
      <c r="I1156" s="57">
        <v>115</v>
      </c>
      <c r="J1156" s="120">
        <v>125</v>
      </c>
      <c r="K1156" s="120">
        <v>5</v>
      </c>
      <c r="L1156" s="120">
        <v>100</v>
      </c>
      <c r="M1156" s="120">
        <v>-9999</v>
      </c>
      <c r="N1156" s="120">
        <v>-9999</v>
      </c>
      <c r="O1156" s="120">
        <v>3</v>
      </c>
      <c r="P1156" s="120">
        <v>-9999</v>
      </c>
      <c r="Q1156" s="120">
        <v>78.800003051757798</v>
      </c>
      <c r="R1156" s="120">
        <v>64.099998474121094</v>
      </c>
      <c r="S1156" s="148">
        <v>16.399999618530298</v>
      </c>
      <c r="T1156" s="120">
        <v>-9999</v>
      </c>
      <c r="U1156" s="120">
        <v>15</v>
      </c>
      <c r="V1156" s="120">
        <v>-9999</v>
      </c>
      <c r="W1156" s="120">
        <v>-9999</v>
      </c>
      <c r="X1156" s="120">
        <v>-9999</v>
      </c>
      <c r="Y1156" s="120">
        <v>-9999</v>
      </c>
      <c r="Z1156" s="120">
        <v>-9999</v>
      </c>
      <c r="AA1156" s="120">
        <v>68</v>
      </c>
      <c r="AB1156" s="120">
        <v>14.5</v>
      </c>
      <c r="AC1156" s="120">
        <v>1155</v>
      </c>
      <c r="AD1156" s="120">
        <v>2427</v>
      </c>
      <c r="AE1156" s="120">
        <v>-9999</v>
      </c>
      <c r="AF1156" s="120">
        <v>-9999</v>
      </c>
      <c r="AG1156" s="120">
        <v>-9999</v>
      </c>
    </row>
    <row r="1157" spans="1:33" x14ac:dyDescent="0.25">
      <c r="A1157" s="120">
        <v>1156</v>
      </c>
      <c r="B1157" s="120" t="b">
        <v>0</v>
      </c>
      <c r="C1157" s="120">
        <v>0</v>
      </c>
      <c r="D1157" s="61">
        <v>5</v>
      </c>
      <c r="E1157" s="120">
        <v>1</v>
      </c>
      <c r="F1157" s="120" t="s">
        <v>175</v>
      </c>
      <c r="G1157" s="55">
        <v>75</v>
      </c>
      <c r="H1157" s="120">
        <v>375</v>
      </c>
      <c r="I1157" s="57">
        <v>125</v>
      </c>
      <c r="J1157" s="120">
        <v>135</v>
      </c>
      <c r="K1157" s="120">
        <v>4</v>
      </c>
      <c r="L1157" s="120">
        <v>100</v>
      </c>
      <c r="M1157" s="120">
        <v>-9999</v>
      </c>
      <c r="N1157" s="120">
        <v>-9999</v>
      </c>
      <c r="O1157" s="120">
        <v>2</v>
      </c>
      <c r="P1157" s="120">
        <v>-9999</v>
      </c>
      <c r="Q1157" s="120">
        <v>78.800003051757798</v>
      </c>
      <c r="R1157" s="120">
        <v>64.099998474121094</v>
      </c>
      <c r="S1157" s="148">
        <v>17.100000381469702</v>
      </c>
      <c r="T1157" s="120">
        <v>-9999</v>
      </c>
      <c r="U1157" s="120">
        <v>15</v>
      </c>
      <c r="V1157" s="120">
        <v>-9999</v>
      </c>
      <c r="W1157" s="120">
        <v>-9999</v>
      </c>
      <c r="X1157" s="120">
        <v>-9999</v>
      </c>
      <c r="Y1157" s="120">
        <v>-9999</v>
      </c>
      <c r="Z1157" s="120">
        <v>-9999</v>
      </c>
      <c r="AA1157" s="120">
        <v>68</v>
      </c>
      <c r="AB1157" s="120">
        <v>14.5</v>
      </c>
      <c r="AC1157" s="120">
        <v>1156</v>
      </c>
      <c r="AD1157" s="120">
        <v>2428</v>
      </c>
      <c r="AE1157" s="120">
        <v>-9999</v>
      </c>
      <c r="AF1157" s="120">
        <v>-9999</v>
      </c>
      <c r="AG1157" s="120">
        <v>-9999</v>
      </c>
    </row>
    <row r="1158" spans="1:33" x14ac:dyDescent="0.25">
      <c r="A1158" s="120">
        <v>1157</v>
      </c>
      <c r="B1158" s="120" t="b">
        <v>0</v>
      </c>
      <c r="C1158" s="120">
        <v>0</v>
      </c>
      <c r="D1158" s="61">
        <v>5</v>
      </c>
      <c r="E1158" s="120">
        <v>1</v>
      </c>
      <c r="F1158" s="120" t="s">
        <v>175</v>
      </c>
      <c r="G1158" s="55">
        <v>75</v>
      </c>
      <c r="H1158" s="120">
        <v>375</v>
      </c>
      <c r="I1158" s="57">
        <v>125</v>
      </c>
      <c r="J1158" s="120">
        <v>135</v>
      </c>
      <c r="K1158" s="120">
        <v>5</v>
      </c>
      <c r="L1158" s="120">
        <v>100</v>
      </c>
      <c r="M1158" s="120">
        <v>-9999</v>
      </c>
      <c r="N1158" s="120">
        <v>-9999</v>
      </c>
      <c r="O1158" s="120">
        <v>3</v>
      </c>
      <c r="P1158" s="120">
        <v>-9999</v>
      </c>
      <c r="Q1158" s="120">
        <v>78.800003051757798</v>
      </c>
      <c r="R1158" s="120">
        <v>64.099998474121094</v>
      </c>
      <c r="S1158" s="148">
        <v>17.100000381469702</v>
      </c>
      <c r="T1158" s="120">
        <v>-9999</v>
      </c>
      <c r="U1158" s="120">
        <v>15</v>
      </c>
      <c r="V1158" s="120">
        <v>-9999</v>
      </c>
      <c r="W1158" s="120">
        <v>-9999</v>
      </c>
      <c r="X1158" s="120">
        <v>-9999</v>
      </c>
      <c r="Y1158" s="120">
        <v>-9999</v>
      </c>
      <c r="Z1158" s="120">
        <v>-9999</v>
      </c>
      <c r="AA1158" s="120">
        <v>68</v>
      </c>
      <c r="AB1158" s="120">
        <v>14.5</v>
      </c>
      <c r="AC1158" s="120">
        <v>1157</v>
      </c>
      <c r="AD1158" s="120">
        <v>2429</v>
      </c>
      <c r="AE1158" s="120">
        <v>-9999</v>
      </c>
      <c r="AF1158" s="120">
        <v>-9999</v>
      </c>
      <c r="AG1158" s="120">
        <v>-9999</v>
      </c>
    </row>
    <row r="1159" spans="1:33" x14ac:dyDescent="0.25">
      <c r="A1159" s="120">
        <v>1158</v>
      </c>
      <c r="B1159" s="120" t="b">
        <v>0</v>
      </c>
      <c r="C1159" s="120">
        <v>0</v>
      </c>
      <c r="D1159" s="61">
        <v>5</v>
      </c>
      <c r="E1159" s="120">
        <v>1</v>
      </c>
      <c r="F1159" s="120" t="s">
        <v>175</v>
      </c>
      <c r="G1159" s="55">
        <v>75</v>
      </c>
      <c r="H1159" s="120">
        <v>366</v>
      </c>
      <c r="I1159" s="57">
        <v>130</v>
      </c>
      <c r="J1159" s="120">
        <v>140</v>
      </c>
      <c r="K1159" s="120">
        <v>4</v>
      </c>
      <c r="L1159" s="120">
        <v>100</v>
      </c>
      <c r="M1159" s="120">
        <v>-9999</v>
      </c>
      <c r="N1159" s="120">
        <v>-9999</v>
      </c>
      <c r="O1159" s="120">
        <v>2</v>
      </c>
      <c r="P1159" s="120">
        <v>-9999</v>
      </c>
      <c r="Q1159" s="120">
        <v>78.800003051757798</v>
      </c>
      <c r="R1159" s="120">
        <v>64.099998474121094</v>
      </c>
      <c r="S1159" s="148">
        <v>17.5</v>
      </c>
      <c r="T1159" s="120">
        <v>-9999</v>
      </c>
      <c r="U1159" s="120">
        <v>15</v>
      </c>
      <c r="V1159" s="120">
        <v>-9999</v>
      </c>
      <c r="W1159" s="120">
        <v>-9999</v>
      </c>
      <c r="X1159" s="120">
        <v>-9999</v>
      </c>
      <c r="Y1159" s="120">
        <v>-9999</v>
      </c>
      <c r="Z1159" s="120">
        <v>-9999</v>
      </c>
      <c r="AA1159" s="120">
        <v>68</v>
      </c>
      <c r="AB1159" s="120">
        <v>14.5</v>
      </c>
      <c r="AC1159" s="120">
        <v>1158</v>
      </c>
      <c r="AD1159" s="120">
        <v>2430</v>
      </c>
      <c r="AE1159" s="120">
        <v>-9999</v>
      </c>
      <c r="AF1159" s="120">
        <v>-9999</v>
      </c>
      <c r="AG1159" s="120">
        <v>-9999</v>
      </c>
    </row>
    <row r="1160" spans="1:33" x14ac:dyDescent="0.25">
      <c r="A1160" s="120">
        <v>1159</v>
      </c>
      <c r="B1160" s="120" t="b">
        <v>0</v>
      </c>
      <c r="C1160" s="120">
        <v>0</v>
      </c>
      <c r="D1160" s="61">
        <v>5</v>
      </c>
      <c r="E1160" s="120">
        <v>1</v>
      </c>
      <c r="F1160" s="120" t="s">
        <v>175</v>
      </c>
      <c r="G1160" s="55">
        <v>75</v>
      </c>
      <c r="H1160" s="120">
        <v>366</v>
      </c>
      <c r="I1160" s="57">
        <v>130</v>
      </c>
      <c r="J1160" s="120">
        <v>140</v>
      </c>
      <c r="K1160" s="120">
        <v>5</v>
      </c>
      <c r="L1160" s="120">
        <v>100</v>
      </c>
      <c r="M1160" s="120">
        <v>-9999</v>
      </c>
      <c r="N1160" s="120">
        <v>-9999</v>
      </c>
      <c r="O1160" s="120">
        <v>3</v>
      </c>
      <c r="P1160" s="120">
        <v>-9999</v>
      </c>
      <c r="Q1160" s="120">
        <v>78.800003051757798</v>
      </c>
      <c r="R1160" s="120">
        <v>64.099998474121094</v>
      </c>
      <c r="S1160" s="148">
        <v>17.5</v>
      </c>
      <c r="T1160" s="120">
        <v>-9999</v>
      </c>
      <c r="U1160" s="120">
        <v>15</v>
      </c>
      <c r="V1160" s="120">
        <v>-9999</v>
      </c>
      <c r="W1160" s="120">
        <v>-9999</v>
      </c>
      <c r="X1160" s="120">
        <v>-9999</v>
      </c>
      <c r="Y1160" s="120">
        <v>-9999</v>
      </c>
      <c r="Z1160" s="120">
        <v>-9999</v>
      </c>
      <c r="AA1160" s="120">
        <v>68</v>
      </c>
      <c r="AB1160" s="120">
        <v>14.5</v>
      </c>
      <c r="AC1160" s="120">
        <v>1159</v>
      </c>
      <c r="AD1160" s="120">
        <v>2431</v>
      </c>
      <c r="AE1160" s="120">
        <v>-9999</v>
      </c>
      <c r="AF1160" s="120">
        <v>-9999</v>
      </c>
      <c r="AG1160" s="120">
        <v>-9999</v>
      </c>
    </row>
    <row r="1161" spans="1:33" x14ac:dyDescent="0.25">
      <c r="A1161" s="120">
        <v>1160</v>
      </c>
      <c r="B1161" s="120" t="b">
        <v>0</v>
      </c>
      <c r="C1161" s="120">
        <v>0</v>
      </c>
      <c r="D1161" s="61">
        <v>5</v>
      </c>
      <c r="E1161" s="120">
        <v>1</v>
      </c>
      <c r="F1161" s="120" t="s">
        <v>175</v>
      </c>
      <c r="G1161" s="55">
        <v>75</v>
      </c>
      <c r="H1161" s="120">
        <v>355</v>
      </c>
      <c r="I1161" s="57">
        <v>140</v>
      </c>
      <c r="J1161" s="120">
        <v>150</v>
      </c>
      <c r="K1161" s="120">
        <v>4</v>
      </c>
      <c r="L1161" s="120">
        <v>100</v>
      </c>
      <c r="M1161" s="120">
        <v>-9999</v>
      </c>
      <c r="N1161" s="120">
        <v>-9999</v>
      </c>
      <c r="O1161" s="120">
        <v>2</v>
      </c>
      <c r="P1161" s="120">
        <v>-9999</v>
      </c>
      <c r="Q1161" s="120">
        <v>78.800003051757798</v>
      </c>
      <c r="R1161" s="120">
        <v>64.099998474121094</v>
      </c>
      <c r="S1161" s="148">
        <v>18.100000381469702</v>
      </c>
      <c r="T1161" s="120">
        <v>-9999</v>
      </c>
      <c r="U1161" s="120">
        <v>15</v>
      </c>
      <c r="V1161" s="120">
        <v>-9999</v>
      </c>
      <c r="W1161" s="120">
        <v>-9999</v>
      </c>
      <c r="X1161" s="120">
        <v>-9999</v>
      </c>
      <c r="Y1161" s="120">
        <v>-9999</v>
      </c>
      <c r="Z1161" s="120">
        <v>-9999</v>
      </c>
      <c r="AA1161" s="120">
        <v>68</v>
      </c>
      <c r="AB1161" s="120">
        <v>14.5</v>
      </c>
      <c r="AC1161" s="120">
        <v>1160</v>
      </c>
      <c r="AD1161" s="120">
        <v>2432</v>
      </c>
      <c r="AE1161" s="120">
        <v>-9999</v>
      </c>
      <c r="AF1161" s="120">
        <v>-9999</v>
      </c>
      <c r="AG1161" s="120">
        <v>-9999</v>
      </c>
    </row>
    <row r="1162" spans="1:33" x14ac:dyDescent="0.25">
      <c r="A1162" s="120">
        <v>1161</v>
      </c>
      <c r="B1162" s="120" t="b">
        <v>0</v>
      </c>
      <c r="C1162" s="120">
        <v>0</v>
      </c>
      <c r="D1162" s="61">
        <v>5</v>
      </c>
      <c r="E1162" s="120">
        <v>1</v>
      </c>
      <c r="F1162" s="120" t="s">
        <v>175</v>
      </c>
      <c r="G1162" s="55">
        <v>75</v>
      </c>
      <c r="H1162" s="120">
        <v>355</v>
      </c>
      <c r="I1162" s="57">
        <v>140</v>
      </c>
      <c r="J1162" s="120">
        <v>150</v>
      </c>
      <c r="K1162" s="120">
        <v>5</v>
      </c>
      <c r="L1162" s="120">
        <v>100</v>
      </c>
      <c r="M1162" s="120">
        <v>-9999</v>
      </c>
      <c r="N1162" s="120">
        <v>-9999</v>
      </c>
      <c r="O1162" s="120">
        <v>3</v>
      </c>
      <c r="P1162" s="120">
        <v>-9999</v>
      </c>
      <c r="Q1162" s="120">
        <v>78.800003051757798</v>
      </c>
      <c r="R1162" s="120">
        <v>64.099998474121094</v>
      </c>
      <c r="S1162" s="148">
        <v>18.100000381469702</v>
      </c>
      <c r="T1162" s="120">
        <v>-9999</v>
      </c>
      <c r="U1162" s="120">
        <v>15</v>
      </c>
      <c r="V1162" s="120">
        <v>-9999</v>
      </c>
      <c r="W1162" s="120">
        <v>-9999</v>
      </c>
      <c r="X1162" s="120">
        <v>-9999</v>
      </c>
      <c r="Y1162" s="120">
        <v>-9999</v>
      </c>
      <c r="Z1162" s="120">
        <v>-9999</v>
      </c>
      <c r="AA1162" s="120">
        <v>68</v>
      </c>
      <c r="AB1162" s="120">
        <v>14.5</v>
      </c>
      <c r="AC1162" s="120">
        <v>1161</v>
      </c>
      <c r="AD1162" s="120">
        <v>2433</v>
      </c>
      <c r="AE1162" s="120">
        <v>-9999</v>
      </c>
      <c r="AF1162" s="120">
        <v>-9999</v>
      </c>
      <c r="AG1162" s="120">
        <v>-9999</v>
      </c>
    </row>
    <row r="1163" spans="1:33" x14ac:dyDescent="0.25">
      <c r="A1163" s="120">
        <v>1162</v>
      </c>
      <c r="B1163" s="120" t="b">
        <v>0</v>
      </c>
      <c r="C1163" s="120">
        <v>0</v>
      </c>
      <c r="D1163" s="61">
        <v>5</v>
      </c>
      <c r="E1163" s="120">
        <v>1</v>
      </c>
      <c r="F1163" s="120" t="s">
        <v>175</v>
      </c>
      <c r="G1163" s="55">
        <v>75</v>
      </c>
      <c r="H1163" s="120">
        <v>348</v>
      </c>
      <c r="I1163" s="57">
        <v>150</v>
      </c>
      <c r="J1163" s="120">
        <v>160</v>
      </c>
      <c r="K1163" s="120">
        <v>4</v>
      </c>
      <c r="L1163" s="120">
        <v>100</v>
      </c>
      <c r="M1163" s="120">
        <v>-9999</v>
      </c>
      <c r="N1163" s="120">
        <v>-9999</v>
      </c>
      <c r="O1163" s="120">
        <v>2</v>
      </c>
      <c r="P1163" s="120">
        <v>-9999</v>
      </c>
      <c r="Q1163" s="120">
        <v>78.800003051757798</v>
      </c>
      <c r="R1163" s="120">
        <v>64.099998474121094</v>
      </c>
      <c r="S1163" s="148">
        <v>18.399999618530298</v>
      </c>
      <c r="T1163" s="120">
        <v>-9999</v>
      </c>
      <c r="U1163" s="120">
        <v>15</v>
      </c>
      <c r="V1163" s="120">
        <v>-9999</v>
      </c>
      <c r="W1163" s="120">
        <v>-9999</v>
      </c>
      <c r="X1163" s="120">
        <v>-9999</v>
      </c>
      <c r="Y1163" s="120">
        <v>-9999</v>
      </c>
      <c r="Z1163" s="120">
        <v>-9999</v>
      </c>
      <c r="AA1163" s="120">
        <v>68</v>
      </c>
      <c r="AB1163" s="120">
        <v>14.5</v>
      </c>
      <c r="AC1163" s="120">
        <v>1162</v>
      </c>
      <c r="AD1163" s="120">
        <v>2434</v>
      </c>
      <c r="AE1163" s="120">
        <v>-9999</v>
      </c>
      <c r="AF1163" s="120">
        <v>-9999</v>
      </c>
      <c r="AG1163" s="120">
        <v>-9999</v>
      </c>
    </row>
    <row r="1164" spans="1:33" x14ac:dyDescent="0.25">
      <c r="A1164" s="120">
        <v>1163</v>
      </c>
      <c r="B1164" s="120" t="b">
        <v>0</v>
      </c>
      <c r="C1164" s="120">
        <v>0</v>
      </c>
      <c r="D1164" s="61">
        <v>5</v>
      </c>
      <c r="E1164" s="120">
        <v>1</v>
      </c>
      <c r="F1164" s="120" t="s">
        <v>175</v>
      </c>
      <c r="G1164" s="55">
        <v>75</v>
      </c>
      <c r="H1164" s="120">
        <v>348</v>
      </c>
      <c r="I1164" s="57">
        <v>150</v>
      </c>
      <c r="J1164" s="120">
        <v>160</v>
      </c>
      <c r="K1164" s="120">
        <v>5</v>
      </c>
      <c r="L1164" s="120">
        <v>100</v>
      </c>
      <c r="M1164" s="120">
        <v>-9999</v>
      </c>
      <c r="N1164" s="120">
        <v>-9999</v>
      </c>
      <c r="O1164" s="120">
        <v>3</v>
      </c>
      <c r="P1164" s="120">
        <v>-9999</v>
      </c>
      <c r="Q1164" s="120">
        <v>78.800003051757798</v>
      </c>
      <c r="R1164" s="120">
        <v>64.099998474121094</v>
      </c>
      <c r="S1164" s="148">
        <v>18.399999618530298</v>
      </c>
      <c r="T1164" s="120">
        <v>-9999</v>
      </c>
      <c r="U1164" s="120">
        <v>15</v>
      </c>
      <c r="V1164" s="120">
        <v>-9999</v>
      </c>
      <c r="W1164" s="120">
        <v>-9999</v>
      </c>
      <c r="X1164" s="120">
        <v>-9999</v>
      </c>
      <c r="Y1164" s="120">
        <v>-9999</v>
      </c>
      <c r="Z1164" s="120">
        <v>-9999</v>
      </c>
      <c r="AA1164" s="120">
        <v>68</v>
      </c>
      <c r="AB1164" s="120">
        <v>14.5</v>
      </c>
      <c r="AC1164" s="120">
        <v>1163</v>
      </c>
      <c r="AD1164" s="120">
        <v>2435</v>
      </c>
      <c r="AE1164" s="120">
        <v>-9999</v>
      </c>
      <c r="AF1164" s="120">
        <v>-9999</v>
      </c>
      <c r="AG1164" s="120">
        <v>-9999</v>
      </c>
    </row>
    <row r="1165" spans="1:33" x14ac:dyDescent="0.25">
      <c r="A1165" s="120">
        <v>1164</v>
      </c>
      <c r="B1165" s="120" t="b">
        <v>0</v>
      </c>
      <c r="C1165" s="120">
        <v>0</v>
      </c>
      <c r="D1165" s="61">
        <v>5</v>
      </c>
      <c r="E1165" s="120">
        <v>1</v>
      </c>
      <c r="F1165" s="120" t="s">
        <v>176</v>
      </c>
      <c r="G1165" s="55">
        <v>100</v>
      </c>
      <c r="H1165" s="120">
        <v>597</v>
      </c>
      <c r="I1165" s="57">
        <v>80</v>
      </c>
      <c r="J1165" s="120">
        <v>90</v>
      </c>
      <c r="K1165" s="120">
        <v>4</v>
      </c>
      <c r="L1165" s="120">
        <v>100</v>
      </c>
      <c r="M1165" s="120">
        <v>-9999</v>
      </c>
      <c r="N1165" s="120">
        <v>-9999</v>
      </c>
      <c r="O1165" s="120">
        <v>2</v>
      </c>
      <c r="P1165" s="120">
        <v>-9999</v>
      </c>
      <c r="Q1165" s="120">
        <v>105</v>
      </c>
      <c r="R1165" s="120">
        <v>85.400001525878906</v>
      </c>
      <c r="S1165" s="148">
        <v>14.300000190734901</v>
      </c>
      <c r="T1165" s="120">
        <v>-9999</v>
      </c>
      <c r="U1165" s="120">
        <v>15</v>
      </c>
      <c r="V1165" s="120">
        <v>-9999</v>
      </c>
      <c r="W1165" s="120">
        <v>-9999</v>
      </c>
      <c r="X1165" s="120">
        <v>-9999</v>
      </c>
      <c r="Y1165" s="120">
        <v>-9999</v>
      </c>
      <c r="Z1165" s="120">
        <v>-9999</v>
      </c>
      <c r="AA1165" s="120">
        <v>68</v>
      </c>
      <c r="AB1165" s="120">
        <v>14.5</v>
      </c>
      <c r="AC1165" s="120">
        <v>1164</v>
      </c>
      <c r="AD1165" s="120">
        <v>2436</v>
      </c>
      <c r="AE1165" s="120">
        <v>-9999</v>
      </c>
      <c r="AF1165" s="120">
        <v>-9999</v>
      </c>
      <c r="AG1165" s="120">
        <v>-9999</v>
      </c>
    </row>
    <row r="1166" spans="1:33" x14ac:dyDescent="0.25">
      <c r="A1166" s="120">
        <v>1165</v>
      </c>
      <c r="B1166" s="120" t="b">
        <v>0</v>
      </c>
      <c r="C1166" s="120">
        <v>0</v>
      </c>
      <c r="D1166" s="61">
        <v>5</v>
      </c>
      <c r="E1166" s="120">
        <v>1</v>
      </c>
      <c r="F1166" s="120" t="s">
        <v>176</v>
      </c>
      <c r="G1166" s="55">
        <v>100</v>
      </c>
      <c r="H1166" s="120">
        <v>597</v>
      </c>
      <c r="I1166" s="57">
        <v>80</v>
      </c>
      <c r="J1166" s="120">
        <v>90</v>
      </c>
      <c r="K1166" s="120">
        <v>5</v>
      </c>
      <c r="L1166" s="120">
        <v>100</v>
      </c>
      <c r="M1166" s="120">
        <v>-9999</v>
      </c>
      <c r="N1166" s="120">
        <v>-9999</v>
      </c>
      <c r="O1166" s="120">
        <v>3</v>
      </c>
      <c r="P1166" s="120">
        <v>-9999</v>
      </c>
      <c r="Q1166" s="120">
        <v>105</v>
      </c>
      <c r="R1166" s="120">
        <v>85.400001525878906</v>
      </c>
      <c r="S1166" s="148">
        <v>14.300000190734901</v>
      </c>
      <c r="T1166" s="120">
        <v>-9999</v>
      </c>
      <c r="U1166" s="120">
        <v>15</v>
      </c>
      <c r="V1166" s="120">
        <v>-9999</v>
      </c>
      <c r="W1166" s="120">
        <v>-9999</v>
      </c>
      <c r="X1166" s="120">
        <v>-9999</v>
      </c>
      <c r="Y1166" s="120">
        <v>-9999</v>
      </c>
      <c r="Z1166" s="120">
        <v>-9999</v>
      </c>
      <c r="AA1166" s="120">
        <v>68</v>
      </c>
      <c r="AB1166" s="120">
        <v>14.5</v>
      </c>
      <c r="AC1166" s="120">
        <v>1165</v>
      </c>
      <c r="AD1166" s="120">
        <v>2437</v>
      </c>
      <c r="AE1166" s="120">
        <v>-9999</v>
      </c>
      <c r="AF1166" s="120">
        <v>-9999</v>
      </c>
      <c r="AG1166" s="120">
        <v>-9999</v>
      </c>
    </row>
    <row r="1167" spans="1:33" x14ac:dyDescent="0.25">
      <c r="A1167" s="120">
        <v>1166</v>
      </c>
      <c r="B1167" s="120" t="b">
        <v>0</v>
      </c>
      <c r="C1167" s="120">
        <v>0</v>
      </c>
      <c r="D1167" s="61">
        <v>5</v>
      </c>
      <c r="E1167" s="120">
        <v>1</v>
      </c>
      <c r="F1167" s="120" t="s">
        <v>176</v>
      </c>
      <c r="G1167" s="55">
        <v>100</v>
      </c>
      <c r="H1167" s="120">
        <v>544</v>
      </c>
      <c r="I1167" s="57">
        <v>100</v>
      </c>
      <c r="J1167" s="120">
        <v>110</v>
      </c>
      <c r="K1167" s="120">
        <v>4</v>
      </c>
      <c r="L1167" s="120">
        <v>100</v>
      </c>
      <c r="M1167" s="120">
        <v>-9999</v>
      </c>
      <c r="N1167" s="120">
        <v>-9999</v>
      </c>
      <c r="O1167" s="120">
        <v>2</v>
      </c>
      <c r="P1167" s="120">
        <v>-9999</v>
      </c>
      <c r="Q1167" s="120">
        <v>105</v>
      </c>
      <c r="R1167" s="120">
        <v>85.400001525878906</v>
      </c>
      <c r="S1167" s="148">
        <v>15.699999809265099</v>
      </c>
      <c r="T1167" s="120">
        <v>-9999</v>
      </c>
      <c r="U1167" s="120">
        <v>15</v>
      </c>
      <c r="V1167" s="120">
        <v>-9999</v>
      </c>
      <c r="W1167" s="120">
        <v>-9999</v>
      </c>
      <c r="X1167" s="120">
        <v>-9999</v>
      </c>
      <c r="Y1167" s="120">
        <v>-9999</v>
      </c>
      <c r="Z1167" s="120">
        <v>-9999</v>
      </c>
      <c r="AA1167" s="120">
        <v>68</v>
      </c>
      <c r="AB1167" s="120">
        <v>14.5</v>
      </c>
      <c r="AC1167" s="120">
        <v>1166</v>
      </c>
      <c r="AD1167" s="120">
        <v>2438</v>
      </c>
      <c r="AE1167" s="120">
        <v>-9999</v>
      </c>
      <c r="AF1167" s="120">
        <v>-9999</v>
      </c>
      <c r="AG1167" s="120">
        <v>-9999</v>
      </c>
    </row>
    <row r="1168" spans="1:33" x14ac:dyDescent="0.25">
      <c r="A1168" s="120">
        <v>1167</v>
      </c>
      <c r="B1168" s="120" t="b">
        <v>0</v>
      </c>
      <c r="C1168" s="120">
        <v>0</v>
      </c>
      <c r="D1168" s="61">
        <v>5</v>
      </c>
      <c r="E1168" s="120">
        <v>1</v>
      </c>
      <c r="F1168" s="120" t="s">
        <v>176</v>
      </c>
      <c r="G1168" s="55">
        <v>100</v>
      </c>
      <c r="H1168" s="120">
        <v>544</v>
      </c>
      <c r="I1168" s="57">
        <v>100</v>
      </c>
      <c r="J1168" s="120">
        <v>110</v>
      </c>
      <c r="K1168" s="120">
        <v>5</v>
      </c>
      <c r="L1168" s="120">
        <v>100</v>
      </c>
      <c r="M1168" s="120">
        <v>-9999</v>
      </c>
      <c r="N1168" s="120">
        <v>-9999</v>
      </c>
      <c r="O1168" s="120">
        <v>3</v>
      </c>
      <c r="P1168" s="120">
        <v>-9999</v>
      </c>
      <c r="Q1168" s="120">
        <v>105</v>
      </c>
      <c r="R1168" s="120">
        <v>85.400001525878906</v>
      </c>
      <c r="S1168" s="148">
        <v>15.699999809265099</v>
      </c>
      <c r="T1168" s="120">
        <v>-9999</v>
      </c>
      <c r="U1168" s="120">
        <v>15</v>
      </c>
      <c r="V1168" s="120">
        <v>-9999</v>
      </c>
      <c r="W1168" s="120">
        <v>-9999</v>
      </c>
      <c r="X1168" s="120">
        <v>-9999</v>
      </c>
      <c r="Y1168" s="120">
        <v>-9999</v>
      </c>
      <c r="Z1168" s="120">
        <v>-9999</v>
      </c>
      <c r="AA1168" s="120">
        <v>68</v>
      </c>
      <c r="AB1168" s="120">
        <v>14.5</v>
      </c>
      <c r="AC1168" s="120">
        <v>1167</v>
      </c>
      <c r="AD1168" s="120">
        <v>2439</v>
      </c>
      <c r="AE1168" s="120">
        <v>-9999</v>
      </c>
      <c r="AF1168" s="120">
        <v>-9999</v>
      </c>
      <c r="AG1168" s="120">
        <v>-9999</v>
      </c>
    </row>
    <row r="1169" spans="1:33" x14ac:dyDescent="0.25">
      <c r="A1169" s="120">
        <v>1168</v>
      </c>
      <c r="B1169" s="120" t="b">
        <v>0</v>
      </c>
      <c r="C1169" s="120">
        <v>0</v>
      </c>
      <c r="D1169" s="61">
        <v>5</v>
      </c>
      <c r="E1169" s="120">
        <v>1</v>
      </c>
      <c r="F1169" s="120" t="s">
        <v>176</v>
      </c>
      <c r="G1169" s="55">
        <v>100</v>
      </c>
      <c r="H1169" s="120">
        <v>522</v>
      </c>
      <c r="I1169" s="57">
        <v>110</v>
      </c>
      <c r="J1169" s="120">
        <v>120</v>
      </c>
      <c r="K1169" s="120">
        <v>4</v>
      </c>
      <c r="L1169" s="120">
        <v>100</v>
      </c>
      <c r="M1169" s="120">
        <v>-9999</v>
      </c>
      <c r="N1169" s="120">
        <v>-9999</v>
      </c>
      <c r="O1169" s="120">
        <v>2</v>
      </c>
      <c r="P1169" s="120">
        <v>-9999</v>
      </c>
      <c r="Q1169" s="120">
        <v>105</v>
      </c>
      <c r="R1169" s="120">
        <v>85.400001525878906</v>
      </c>
      <c r="S1169" s="148">
        <v>16.399999618530298</v>
      </c>
      <c r="T1169" s="120">
        <v>-9999</v>
      </c>
      <c r="U1169" s="120">
        <v>15</v>
      </c>
      <c r="V1169" s="120">
        <v>-9999</v>
      </c>
      <c r="W1169" s="120">
        <v>-9999</v>
      </c>
      <c r="X1169" s="120">
        <v>-9999</v>
      </c>
      <c r="Y1169" s="120">
        <v>-9999</v>
      </c>
      <c r="Z1169" s="120">
        <v>-9999</v>
      </c>
      <c r="AA1169" s="120">
        <v>68</v>
      </c>
      <c r="AB1169" s="120">
        <v>14.5</v>
      </c>
      <c r="AC1169" s="120">
        <v>1168</v>
      </c>
      <c r="AD1169" s="120">
        <v>2440</v>
      </c>
      <c r="AE1169" s="120">
        <v>-9999</v>
      </c>
      <c r="AF1169" s="120">
        <v>-9999</v>
      </c>
      <c r="AG1169" s="120">
        <v>-9999</v>
      </c>
    </row>
    <row r="1170" spans="1:33" x14ac:dyDescent="0.25">
      <c r="A1170" s="120">
        <v>1169</v>
      </c>
      <c r="B1170" s="120" t="b">
        <v>0</v>
      </c>
      <c r="C1170" s="120">
        <v>0</v>
      </c>
      <c r="D1170" s="61">
        <v>5</v>
      </c>
      <c r="E1170" s="120">
        <v>1</v>
      </c>
      <c r="F1170" s="120" t="s">
        <v>176</v>
      </c>
      <c r="G1170" s="55">
        <v>100</v>
      </c>
      <c r="H1170" s="120">
        <v>522</v>
      </c>
      <c r="I1170" s="57">
        <v>110</v>
      </c>
      <c r="J1170" s="120">
        <v>120</v>
      </c>
      <c r="K1170" s="120">
        <v>5</v>
      </c>
      <c r="L1170" s="120">
        <v>100</v>
      </c>
      <c r="M1170" s="120">
        <v>-9999</v>
      </c>
      <c r="N1170" s="120">
        <v>-9999</v>
      </c>
      <c r="O1170" s="120">
        <v>3</v>
      </c>
      <c r="P1170" s="120">
        <v>-9999</v>
      </c>
      <c r="Q1170" s="120">
        <v>105</v>
      </c>
      <c r="R1170" s="120">
        <v>85.400001525878906</v>
      </c>
      <c r="S1170" s="148">
        <v>16.399999618530298</v>
      </c>
      <c r="T1170" s="120">
        <v>-9999</v>
      </c>
      <c r="U1170" s="120">
        <v>15</v>
      </c>
      <c r="V1170" s="120">
        <v>-9999</v>
      </c>
      <c r="W1170" s="120">
        <v>-9999</v>
      </c>
      <c r="X1170" s="120">
        <v>-9999</v>
      </c>
      <c r="Y1170" s="120">
        <v>-9999</v>
      </c>
      <c r="Z1170" s="120">
        <v>-9999</v>
      </c>
      <c r="AA1170" s="120">
        <v>68</v>
      </c>
      <c r="AB1170" s="120">
        <v>14.5</v>
      </c>
      <c r="AC1170" s="120">
        <v>1169</v>
      </c>
      <c r="AD1170" s="120">
        <v>2441</v>
      </c>
      <c r="AE1170" s="120">
        <v>-9999</v>
      </c>
      <c r="AF1170" s="120">
        <v>-9999</v>
      </c>
      <c r="AG1170" s="120">
        <v>-9999</v>
      </c>
    </row>
    <row r="1171" spans="1:33" x14ac:dyDescent="0.25">
      <c r="A1171" s="120">
        <v>1170</v>
      </c>
      <c r="B1171" s="120" t="b">
        <v>0</v>
      </c>
      <c r="C1171" s="120">
        <v>0</v>
      </c>
      <c r="D1171" s="61">
        <v>5</v>
      </c>
      <c r="E1171" s="120">
        <v>1</v>
      </c>
      <c r="F1171" s="120" t="s">
        <v>176</v>
      </c>
      <c r="G1171" s="55">
        <v>100</v>
      </c>
      <c r="H1171" s="120">
        <v>515</v>
      </c>
      <c r="I1171" s="57">
        <v>115</v>
      </c>
      <c r="J1171" s="120">
        <v>125</v>
      </c>
      <c r="K1171" s="120">
        <v>4</v>
      </c>
      <c r="L1171" s="120">
        <v>100</v>
      </c>
      <c r="M1171" s="120">
        <v>-9999</v>
      </c>
      <c r="N1171" s="120">
        <v>-9999</v>
      </c>
      <c r="O1171" s="120">
        <v>2</v>
      </c>
      <c r="P1171" s="120">
        <v>-9999</v>
      </c>
      <c r="Q1171" s="120">
        <v>105</v>
      </c>
      <c r="R1171" s="120">
        <v>85.400001525878906</v>
      </c>
      <c r="S1171" s="148">
        <v>16.600000381469702</v>
      </c>
      <c r="T1171" s="120">
        <v>-9999</v>
      </c>
      <c r="U1171" s="120">
        <v>15</v>
      </c>
      <c r="V1171" s="120">
        <v>-9999</v>
      </c>
      <c r="W1171" s="120">
        <v>-9999</v>
      </c>
      <c r="X1171" s="120">
        <v>-9999</v>
      </c>
      <c r="Y1171" s="120">
        <v>-9999</v>
      </c>
      <c r="Z1171" s="120">
        <v>-9999</v>
      </c>
      <c r="AA1171" s="120">
        <v>68</v>
      </c>
      <c r="AB1171" s="120">
        <v>14.5</v>
      </c>
      <c r="AC1171" s="120">
        <v>1170</v>
      </c>
      <c r="AD1171" s="120">
        <v>2442</v>
      </c>
      <c r="AE1171" s="120">
        <v>-9999</v>
      </c>
      <c r="AF1171" s="120">
        <v>-9999</v>
      </c>
      <c r="AG1171" s="120">
        <v>-9999</v>
      </c>
    </row>
    <row r="1172" spans="1:33" x14ac:dyDescent="0.25">
      <c r="A1172" s="120">
        <v>1171</v>
      </c>
      <c r="B1172" s="120" t="b">
        <v>0</v>
      </c>
      <c r="C1172" s="120">
        <v>0</v>
      </c>
      <c r="D1172" s="61">
        <v>5</v>
      </c>
      <c r="E1172" s="120">
        <v>1</v>
      </c>
      <c r="F1172" s="120" t="s">
        <v>176</v>
      </c>
      <c r="G1172" s="55">
        <v>100</v>
      </c>
      <c r="H1172" s="120">
        <v>515</v>
      </c>
      <c r="I1172" s="57">
        <v>115</v>
      </c>
      <c r="J1172" s="120">
        <v>125</v>
      </c>
      <c r="K1172" s="120">
        <v>5</v>
      </c>
      <c r="L1172" s="120">
        <v>100</v>
      </c>
      <c r="M1172" s="120">
        <v>-9999</v>
      </c>
      <c r="N1172" s="120">
        <v>-9999</v>
      </c>
      <c r="O1172" s="120">
        <v>3</v>
      </c>
      <c r="P1172" s="120">
        <v>-9999</v>
      </c>
      <c r="Q1172" s="120">
        <v>105</v>
      </c>
      <c r="R1172" s="120">
        <v>85.400001525878906</v>
      </c>
      <c r="S1172" s="148">
        <v>16.600000381469702</v>
      </c>
      <c r="T1172" s="120">
        <v>-9999</v>
      </c>
      <c r="U1172" s="120">
        <v>15</v>
      </c>
      <c r="V1172" s="120">
        <v>-9999</v>
      </c>
      <c r="W1172" s="120">
        <v>-9999</v>
      </c>
      <c r="X1172" s="120">
        <v>-9999</v>
      </c>
      <c r="Y1172" s="120">
        <v>-9999</v>
      </c>
      <c r="Z1172" s="120">
        <v>-9999</v>
      </c>
      <c r="AA1172" s="120">
        <v>68</v>
      </c>
      <c r="AB1172" s="120">
        <v>14.5</v>
      </c>
      <c r="AC1172" s="120">
        <v>1171</v>
      </c>
      <c r="AD1172" s="120">
        <v>2443</v>
      </c>
      <c r="AE1172" s="120">
        <v>-9999</v>
      </c>
      <c r="AF1172" s="120">
        <v>-9999</v>
      </c>
      <c r="AG1172" s="120">
        <v>-9999</v>
      </c>
    </row>
    <row r="1173" spans="1:33" x14ac:dyDescent="0.25">
      <c r="A1173" s="120">
        <v>1172</v>
      </c>
      <c r="B1173" s="120" t="b">
        <v>0</v>
      </c>
      <c r="C1173" s="120">
        <v>0</v>
      </c>
      <c r="D1173" s="61">
        <v>5</v>
      </c>
      <c r="E1173" s="120">
        <v>1</v>
      </c>
      <c r="F1173" s="120" t="s">
        <v>176</v>
      </c>
      <c r="G1173" s="55">
        <v>100</v>
      </c>
      <c r="H1173" s="120">
        <v>498</v>
      </c>
      <c r="I1173" s="57">
        <v>125</v>
      </c>
      <c r="J1173" s="120">
        <v>135</v>
      </c>
      <c r="K1173" s="120">
        <v>4</v>
      </c>
      <c r="L1173" s="120">
        <v>100</v>
      </c>
      <c r="M1173" s="120">
        <v>-9999</v>
      </c>
      <c r="N1173" s="120">
        <v>-9999</v>
      </c>
      <c r="O1173" s="120">
        <v>2</v>
      </c>
      <c r="P1173" s="120">
        <v>-9999</v>
      </c>
      <c r="Q1173" s="120">
        <v>105</v>
      </c>
      <c r="R1173" s="120">
        <v>85.400001525878906</v>
      </c>
      <c r="S1173" s="148">
        <v>17.200000762939499</v>
      </c>
      <c r="T1173" s="120">
        <v>-9999</v>
      </c>
      <c r="U1173" s="120">
        <v>15</v>
      </c>
      <c r="V1173" s="120">
        <v>-9999</v>
      </c>
      <c r="W1173" s="120">
        <v>-9999</v>
      </c>
      <c r="X1173" s="120">
        <v>-9999</v>
      </c>
      <c r="Y1173" s="120">
        <v>-9999</v>
      </c>
      <c r="Z1173" s="120">
        <v>-9999</v>
      </c>
      <c r="AA1173" s="120">
        <v>68</v>
      </c>
      <c r="AB1173" s="120">
        <v>14.5</v>
      </c>
      <c r="AC1173" s="120">
        <v>1172</v>
      </c>
      <c r="AD1173" s="120">
        <v>2444</v>
      </c>
      <c r="AE1173" s="120">
        <v>-9999</v>
      </c>
      <c r="AF1173" s="120">
        <v>-9999</v>
      </c>
      <c r="AG1173" s="120">
        <v>-9999</v>
      </c>
    </row>
    <row r="1174" spans="1:33" x14ac:dyDescent="0.25">
      <c r="A1174" s="120">
        <v>1173</v>
      </c>
      <c r="B1174" s="120" t="b">
        <v>0</v>
      </c>
      <c r="C1174" s="120">
        <v>0</v>
      </c>
      <c r="D1174" s="61">
        <v>5</v>
      </c>
      <c r="E1174" s="120">
        <v>1</v>
      </c>
      <c r="F1174" s="120" t="s">
        <v>176</v>
      </c>
      <c r="G1174" s="55">
        <v>100</v>
      </c>
      <c r="H1174" s="120">
        <v>498</v>
      </c>
      <c r="I1174" s="57">
        <v>125</v>
      </c>
      <c r="J1174" s="120">
        <v>135</v>
      </c>
      <c r="K1174" s="120">
        <v>5</v>
      </c>
      <c r="L1174" s="120">
        <v>100</v>
      </c>
      <c r="M1174" s="120">
        <v>-9999</v>
      </c>
      <c r="N1174" s="120">
        <v>-9999</v>
      </c>
      <c r="O1174" s="120">
        <v>3</v>
      </c>
      <c r="P1174" s="120">
        <v>-9999</v>
      </c>
      <c r="Q1174" s="120">
        <v>105</v>
      </c>
      <c r="R1174" s="120">
        <v>85.400001525878906</v>
      </c>
      <c r="S1174" s="148">
        <v>17.200000762939499</v>
      </c>
      <c r="T1174" s="120">
        <v>-9999</v>
      </c>
      <c r="U1174" s="120">
        <v>15</v>
      </c>
      <c r="V1174" s="120">
        <v>-9999</v>
      </c>
      <c r="W1174" s="120">
        <v>-9999</v>
      </c>
      <c r="X1174" s="120">
        <v>-9999</v>
      </c>
      <c r="Y1174" s="120">
        <v>-9999</v>
      </c>
      <c r="Z1174" s="120">
        <v>-9999</v>
      </c>
      <c r="AA1174" s="120">
        <v>68</v>
      </c>
      <c r="AB1174" s="120">
        <v>14.5</v>
      </c>
      <c r="AC1174" s="120">
        <v>1173</v>
      </c>
      <c r="AD1174" s="120">
        <v>2445</v>
      </c>
      <c r="AE1174" s="120">
        <v>-9999</v>
      </c>
      <c r="AF1174" s="120">
        <v>-9999</v>
      </c>
      <c r="AG1174" s="120">
        <v>-9999</v>
      </c>
    </row>
    <row r="1175" spans="1:33" x14ac:dyDescent="0.25">
      <c r="A1175" s="120">
        <v>1174</v>
      </c>
      <c r="B1175" s="120" t="b">
        <v>0</v>
      </c>
      <c r="C1175" s="120">
        <v>0</v>
      </c>
      <c r="D1175" s="61">
        <v>5</v>
      </c>
      <c r="E1175" s="120">
        <v>1</v>
      </c>
      <c r="F1175" s="120" t="s">
        <v>176</v>
      </c>
      <c r="G1175" s="55">
        <v>100</v>
      </c>
      <c r="H1175" s="120">
        <v>488</v>
      </c>
      <c r="I1175" s="57">
        <v>130</v>
      </c>
      <c r="J1175" s="120">
        <v>140</v>
      </c>
      <c r="K1175" s="120">
        <v>4</v>
      </c>
      <c r="L1175" s="120">
        <v>100</v>
      </c>
      <c r="M1175" s="120">
        <v>-9999</v>
      </c>
      <c r="N1175" s="120">
        <v>-9999</v>
      </c>
      <c r="O1175" s="120">
        <v>2</v>
      </c>
      <c r="P1175" s="120">
        <v>-9999</v>
      </c>
      <c r="Q1175" s="120">
        <v>105</v>
      </c>
      <c r="R1175" s="120">
        <v>85.400001525878906</v>
      </c>
      <c r="S1175" s="148">
        <v>17.5</v>
      </c>
      <c r="T1175" s="120">
        <v>-9999</v>
      </c>
      <c r="U1175" s="120">
        <v>15</v>
      </c>
      <c r="V1175" s="120">
        <v>-9999</v>
      </c>
      <c r="W1175" s="120">
        <v>-9999</v>
      </c>
      <c r="X1175" s="120">
        <v>-9999</v>
      </c>
      <c r="Y1175" s="120">
        <v>-9999</v>
      </c>
      <c r="Z1175" s="120">
        <v>-9999</v>
      </c>
      <c r="AA1175" s="120">
        <v>68</v>
      </c>
      <c r="AB1175" s="120">
        <v>14.5</v>
      </c>
      <c r="AC1175" s="120">
        <v>1174</v>
      </c>
      <c r="AD1175" s="120">
        <v>2446</v>
      </c>
      <c r="AE1175" s="120">
        <v>-9999</v>
      </c>
      <c r="AF1175" s="120">
        <v>-9999</v>
      </c>
      <c r="AG1175" s="120">
        <v>-9999</v>
      </c>
    </row>
    <row r="1176" spans="1:33" x14ac:dyDescent="0.25">
      <c r="A1176" s="120">
        <v>1175</v>
      </c>
      <c r="B1176" s="120" t="b">
        <v>0</v>
      </c>
      <c r="C1176" s="120">
        <v>0</v>
      </c>
      <c r="D1176" s="61">
        <v>5</v>
      </c>
      <c r="E1176" s="120">
        <v>1</v>
      </c>
      <c r="F1176" s="120" t="s">
        <v>176</v>
      </c>
      <c r="G1176" s="55">
        <v>100</v>
      </c>
      <c r="H1176" s="120">
        <v>488</v>
      </c>
      <c r="I1176" s="57">
        <v>130</v>
      </c>
      <c r="J1176" s="120">
        <v>140</v>
      </c>
      <c r="K1176" s="120">
        <v>5</v>
      </c>
      <c r="L1176" s="120">
        <v>100</v>
      </c>
      <c r="M1176" s="120">
        <v>-9999</v>
      </c>
      <c r="N1176" s="120">
        <v>-9999</v>
      </c>
      <c r="O1176" s="120">
        <v>3</v>
      </c>
      <c r="P1176" s="120">
        <v>-9999</v>
      </c>
      <c r="Q1176" s="120">
        <v>105</v>
      </c>
      <c r="R1176" s="120">
        <v>85.400001525878906</v>
      </c>
      <c r="S1176" s="148">
        <v>17.5</v>
      </c>
      <c r="T1176" s="120">
        <v>-9999</v>
      </c>
      <c r="U1176" s="120">
        <v>15</v>
      </c>
      <c r="V1176" s="120">
        <v>-9999</v>
      </c>
      <c r="W1176" s="120">
        <v>-9999</v>
      </c>
      <c r="X1176" s="120">
        <v>-9999</v>
      </c>
      <c r="Y1176" s="120">
        <v>-9999</v>
      </c>
      <c r="Z1176" s="120">
        <v>-9999</v>
      </c>
      <c r="AA1176" s="120">
        <v>68</v>
      </c>
      <c r="AB1176" s="120">
        <v>14.5</v>
      </c>
      <c r="AC1176" s="120">
        <v>1175</v>
      </c>
      <c r="AD1176" s="120">
        <v>2447</v>
      </c>
      <c r="AE1176" s="120">
        <v>-9999</v>
      </c>
      <c r="AF1176" s="120">
        <v>-9999</v>
      </c>
      <c r="AG1176" s="120">
        <v>-9999</v>
      </c>
    </row>
    <row r="1177" spans="1:33" x14ac:dyDescent="0.25">
      <c r="A1177" s="120">
        <v>1176</v>
      </c>
      <c r="B1177" s="120" t="b">
        <v>0</v>
      </c>
      <c r="C1177" s="120">
        <v>0</v>
      </c>
      <c r="D1177" s="61">
        <v>5</v>
      </c>
      <c r="E1177" s="120">
        <v>1</v>
      </c>
      <c r="F1177" s="120" t="s">
        <v>176</v>
      </c>
      <c r="G1177" s="55">
        <v>100</v>
      </c>
      <c r="H1177" s="120">
        <v>475</v>
      </c>
      <c r="I1177" s="57">
        <v>140</v>
      </c>
      <c r="J1177" s="120">
        <v>150</v>
      </c>
      <c r="K1177" s="120">
        <v>4</v>
      </c>
      <c r="L1177" s="120">
        <v>100</v>
      </c>
      <c r="M1177" s="120">
        <v>-9999</v>
      </c>
      <c r="N1177" s="120">
        <v>-9999</v>
      </c>
      <c r="O1177" s="120">
        <v>2</v>
      </c>
      <c r="P1177" s="120">
        <v>-9999</v>
      </c>
      <c r="Q1177" s="120">
        <v>105</v>
      </c>
      <c r="R1177" s="120">
        <v>85.400001525878906</v>
      </c>
      <c r="S1177" s="148">
        <v>18</v>
      </c>
      <c r="T1177" s="120">
        <v>-9999</v>
      </c>
      <c r="U1177" s="120">
        <v>15</v>
      </c>
      <c r="V1177" s="120">
        <v>-9999</v>
      </c>
      <c r="W1177" s="120">
        <v>-9999</v>
      </c>
      <c r="X1177" s="120">
        <v>-9999</v>
      </c>
      <c r="Y1177" s="120">
        <v>-9999</v>
      </c>
      <c r="Z1177" s="120">
        <v>-9999</v>
      </c>
      <c r="AA1177" s="120">
        <v>68</v>
      </c>
      <c r="AB1177" s="120">
        <v>14.5</v>
      </c>
      <c r="AC1177" s="120">
        <v>1176</v>
      </c>
      <c r="AD1177" s="120">
        <v>2448</v>
      </c>
      <c r="AE1177" s="120">
        <v>-9999</v>
      </c>
      <c r="AF1177" s="120">
        <v>-9999</v>
      </c>
      <c r="AG1177" s="120">
        <v>-9999</v>
      </c>
    </row>
    <row r="1178" spans="1:33" x14ac:dyDescent="0.25">
      <c r="A1178" s="120">
        <v>1177</v>
      </c>
      <c r="B1178" s="120" t="b">
        <v>0</v>
      </c>
      <c r="C1178" s="120">
        <v>0</v>
      </c>
      <c r="D1178" s="61">
        <v>5</v>
      </c>
      <c r="E1178" s="120">
        <v>1</v>
      </c>
      <c r="F1178" s="120" t="s">
        <v>176</v>
      </c>
      <c r="G1178" s="55">
        <v>100</v>
      </c>
      <c r="H1178" s="120">
        <v>475</v>
      </c>
      <c r="I1178" s="57">
        <v>140</v>
      </c>
      <c r="J1178" s="120">
        <v>150</v>
      </c>
      <c r="K1178" s="120">
        <v>5</v>
      </c>
      <c r="L1178" s="120">
        <v>100</v>
      </c>
      <c r="M1178" s="120">
        <v>-9999</v>
      </c>
      <c r="N1178" s="120">
        <v>-9999</v>
      </c>
      <c r="O1178" s="120">
        <v>3</v>
      </c>
      <c r="P1178" s="120">
        <v>-9999</v>
      </c>
      <c r="Q1178" s="120">
        <v>105</v>
      </c>
      <c r="R1178" s="120">
        <v>85.400001525878906</v>
      </c>
      <c r="S1178" s="148">
        <v>18</v>
      </c>
      <c r="T1178" s="120">
        <v>-9999</v>
      </c>
      <c r="U1178" s="120">
        <v>15</v>
      </c>
      <c r="V1178" s="120">
        <v>-9999</v>
      </c>
      <c r="W1178" s="120">
        <v>-9999</v>
      </c>
      <c r="X1178" s="120">
        <v>-9999</v>
      </c>
      <c r="Y1178" s="120">
        <v>-9999</v>
      </c>
      <c r="Z1178" s="120">
        <v>-9999</v>
      </c>
      <c r="AA1178" s="120">
        <v>68</v>
      </c>
      <c r="AB1178" s="120">
        <v>14.5</v>
      </c>
      <c r="AC1178" s="120">
        <v>1177</v>
      </c>
      <c r="AD1178" s="120">
        <v>2449</v>
      </c>
      <c r="AE1178" s="120">
        <v>-9999</v>
      </c>
      <c r="AF1178" s="120">
        <v>-9999</v>
      </c>
      <c r="AG1178" s="120">
        <v>-9999</v>
      </c>
    </row>
    <row r="1179" spans="1:33" x14ac:dyDescent="0.25">
      <c r="A1179" s="120">
        <v>1178</v>
      </c>
      <c r="B1179" s="120" t="b">
        <v>0</v>
      </c>
      <c r="C1179" s="120">
        <v>0</v>
      </c>
      <c r="D1179" s="61">
        <v>5</v>
      </c>
      <c r="E1179" s="120">
        <v>1</v>
      </c>
      <c r="F1179" s="120" t="s">
        <v>176</v>
      </c>
      <c r="G1179" s="55">
        <v>100</v>
      </c>
      <c r="H1179" s="120">
        <v>463</v>
      </c>
      <c r="I1179" s="57">
        <v>150</v>
      </c>
      <c r="J1179" s="120">
        <v>160</v>
      </c>
      <c r="K1179" s="120">
        <v>4</v>
      </c>
      <c r="L1179" s="120">
        <v>100</v>
      </c>
      <c r="M1179" s="120">
        <v>-9999</v>
      </c>
      <c r="N1179" s="120">
        <v>-9999</v>
      </c>
      <c r="O1179" s="120">
        <v>2</v>
      </c>
      <c r="P1179" s="120">
        <v>-9999</v>
      </c>
      <c r="Q1179" s="120">
        <v>105</v>
      </c>
      <c r="R1179" s="120">
        <v>85.400001525878906</v>
      </c>
      <c r="S1179" s="148">
        <v>18.5</v>
      </c>
      <c r="T1179" s="120">
        <v>-9999</v>
      </c>
      <c r="U1179" s="120">
        <v>15</v>
      </c>
      <c r="V1179" s="120">
        <v>-9999</v>
      </c>
      <c r="W1179" s="120">
        <v>-9999</v>
      </c>
      <c r="X1179" s="120">
        <v>-9999</v>
      </c>
      <c r="Y1179" s="120">
        <v>-9999</v>
      </c>
      <c r="Z1179" s="120">
        <v>-9999</v>
      </c>
      <c r="AA1179" s="120">
        <v>68</v>
      </c>
      <c r="AB1179" s="120">
        <v>14.5</v>
      </c>
      <c r="AC1179" s="120">
        <v>1178</v>
      </c>
      <c r="AD1179" s="120">
        <v>2450</v>
      </c>
      <c r="AE1179" s="120">
        <v>-9999</v>
      </c>
      <c r="AF1179" s="120">
        <v>-9999</v>
      </c>
      <c r="AG1179" s="120">
        <v>-9999</v>
      </c>
    </row>
    <row r="1180" spans="1:33" x14ac:dyDescent="0.25">
      <c r="A1180" s="120">
        <v>1179</v>
      </c>
      <c r="B1180" s="120" t="b">
        <v>0</v>
      </c>
      <c r="C1180" s="120">
        <v>0</v>
      </c>
      <c r="D1180" s="61">
        <v>5</v>
      </c>
      <c r="E1180" s="120">
        <v>1</v>
      </c>
      <c r="F1180" s="120" t="s">
        <v>176</v>
      </c>
      <c r="G1180" s="55">
        <v>100</v>
      </c>
      <c r="H1180" s="120">
        <v>463</v>
      </c>
      <c r="I1180" s="57">
        <v>150</v>
      </c>
      <c r="J1180" s="120">
        <v>160</v>
      </c>
      <c r="K1180" s="120">
        <v>5</v>
      </c>
      <c r="L1180" s="120">
        <v>100</v>
      </c>
      <c r="M1180" s="120">
        <v>-9999</v>
      </c>
      <c r="N1180" s="120">
        <v>-9999</v>
      </c>
      <c r="O1180" s="120">
        <v>3</v>
      </c>
      <c r="P1180" s="120">
        <v>-9999</v>
      </c>
      <c r="Q1180" s="120">
        <v>105</v>
      </c>
      <c r="R1180" s="120">
        <v>85.400001525878906</v>
      </c>
      <c r="S1180" s="148">
        <v>18.5</v>
      </c>
      <c r="T1180" s="120">
        <v>-9999</v>
      </c>
      <c r="U1180" s="120">
        <v>15</v>
      </c>
      <c r="V1180" s="120">
        <v>-9999</v>
      </c>
      <c r="W1180" s="120">
        <v>-9999</v>
      </c>
      <c r="X1180" s="120">
        <v>-9999</v>
      </c>
      <c r="Y1180" s="120">
        <v>-9999</v>
      </c>
      <c r="Z1180" s="120">
        <v>-9999</v>
      </c>
      <c r="AA1180" s="120">
        <v>68</v>
      </c>
      <c r="AB1180" s="120">
        <v>14.5</v>
      </c>
      <c r="AC1180" s="120">
        <v>1179</v>
      </c>
      <c r="AD1180" s="120">
        <v>2451</v>
      </c>
      <c r="AE1180" s="120">
        <v>-9999</v>
      </c>
      <c r="AF1180" s="120">
        <v>-9999</v>
      </c>
      <c r="AG1180" s="120">
        <v>-9999</v>
      </c>
    </row>
    <row r="1181" spans="1:33" x14ac:dyDescent="0.25">
      <c r="A1181" s="120">
        <v>1180</v>
      </c>
      <c r="B1181" s="120" t="b">
        <v>0</v>
      </c>
      <c r="C1181" s="120">
        <v>0</v>
      </c>
      <c r="D1181" s="61">
        <v>5</v>
      </c>
      <c r="E1181" s="120">
        <v>1</v>
      </c>
      <c r="F1181" s="120" t="s">
        <v>177</v>
      </c>
      <c r="G1181" s="55">
        <v>125</v>
      </c>
      <c r="H1181" s="120">
        <v>786</v>
      </c>
      <c r="I1181" s="57">
        <v>80</v>
      </c>
      <c r="J1181" s="120">
        <v>90</v>
      </c>
      <c r="K1181" s="120">
        <v>4</v>
      </c>
      <c r="L1181" s="120">
        <v>100</v>
      </c>
      <c r="M1181" s="120">
        <v>-9999</v>
      </c>
      <c r="N1181" s="120">
        <v>-9999</v>
      </c>
      <c r="O1181" s="120">
        <v>2</v>
      </c>
      <c r="P1181" s="120">
        <v>-9999</v>
      </c>
      <c r="Q1181" s="120">
        <v>131.30000305175801</v>
      </c>
      <c r="R1181" s="120">
        <v>106</v>
      </c>
      <c r="S1181" s="148">
        <v>13.5</v>
      </c>
      <c r="T1181" s="120">
        <v>-9999</v>
      </c>
      <c r="U1181" s="120">
        <v>15</v>
      </c>
      <c r="V1181" s="120">
        <v>-9999</v>
      </c>
      <c r="W1181" s="120">
        <v>-9999</v>
      </c>
      <c r="X1181" s="120">
        <v>-9999</v>
      </c>
      <c r="Y1181" s="120">
        <v>-9999</v>
      </c>
      <c r="Z1181" s="120">
        <v>-9999</v>
      </c>
      <c r="AA1181" s="120">
        <v>68</v>
      </c>
      <c r="AB1181" s="120">
        <v>14.5</v>
      </c>
      <c r="AC1181" s="120">
        <v>1180</v>
      </c>
      <c r="AD1181" s="120">
        <v>2452</v>
      </c>
      <c r="AE1181" s="120">
        <v>-9999</v>
      </c>
      <c r="AF1181" s="120">
        <v>-9999</v>
      </c>
      <c r="AG1181" s="120">
        <v>-9999</v>
      </c>
    </row>
    <row r="1182" spans="1:33" x14ac:dyDescent="0.25">
      <c r="A1182" s="120">
        <v>1181</v>
      </c>
      <c r="B1182" s="120" t="b">
        <v>0</v>
      </c>
      <c r="C1182" s="120">
        <v>0</v>
      </c>
      <c r="D1182" s="61">
        <v>5</v>
      </c>
      <c r="E1182" s="120">
        <v>1</v>
      </c>
      <c r="F1182" s="120" t="s">
        <v>177</v>
      </c>
      <c r="G1182" s="55">
        <v>125</v>
      </c>
      <c r="H1182" s="120">
        <v>786</v>
      </c>
      <c r="I1182" s="57">
        <v>80</v>
      </c>
      <c r="J1182" s="120">
        <v>90</v>
      </c>
      <c r="K1182" s="120">
        <v>5</v>
      </c>
      <c r="L1182" s="120">
        <v>100</v>
      </c>
      <c r="M1182" s="120">
        <v>-9999</v>
      </c>
      <c r="N1182" s="120">
        <v>-9999</v>
      </c>
      <c r="O1182" s="120">
        <v>3</v>
      </c>
      <c r="P1182" s="120">
        <v>-9999</v>
      </c>
      <c r="Q1182" s="120">
        <v>131.30000305175801</v>
      </c>
      <c r="R1182" s="120">
        <v>106</v>
      </c>
      <c r="S1182" s="148">
        <v>13.5</v>
      </c>
      <c r="T1182" s="120">
        <v>-9999</v>
      </c>
      <c r="U1182" s="120">
        <v>15</v>
      </c>
      <c r="V1182" s="120">
        <v>-9999</v>
      </c>
      <c r="W1182" s="120">
        <v>-9999</v>
      </c>
      <c r="X1182" s="120">
        <v>-9999</v>
      </c>
      <c r="Y1182" s="120">
        <v>-9999</v>
      </c>
      <c r="Z1182" s="120">
        <v>-9999</v>
      </c>
      <c r="AA1182" s="120">
        <v>68</v>
      </c>
      <c r="AB1182" s="120">
        <v>14.5</v>
      </c>
      <c r="AC1182" s="120">
        <v>1181</v>
      </c>
      <c r="AD1182" s="120">
        <v>2453</v>
      </c>
      <c r="AE1182" s="120">
        <v>-9999</v>
      </c>
      <c r="AF1182" s="120">
        <v>-9999</v>
      </c>
      <c r="AG1182" s="120">
        <v>-9999</v>
      </c>
    </row>
    <row r="1183" spans="1:33" x14ac:dyDescent="0.25">
      <c r="A1183" s="120">
        <v>1182</v>
      </c>
      <c r="B1183" s="120" t="b">
        <v>0</v>
      </c>
      <c r="C1183" s="120">
        <v>0</v>
      </c>
      <c r="D1183" s="61">
        <v>5</v>
      </c>
      <c r="E1183" s="120">
        <v>1</v>
      </c>
      <c r="F1183" s="120" t="s">
        <v>177</v>
      </c>
      <c r="G1183" s="55">
        <v>125</v>
      </c>
      <c r="H1183" s="120">
        <v>706</v>
      </c>
      <c r="I1183" s="57">
        <v>100</v>
      </c>
      <c r="J1183" s="120">
        <v>110</v>
      </c>
      <c r="K1183" s="120">
        <v>4</v>
      </c>
      <c r="L1183" s="120">
        <v>100</v>
      </c>
      <c r="M1183" s="120">
        <v>-9999</v>
      </c>
      <c r="N1183" s="120">
        <v>-9999</v>
      </c>
      <c r="O1183" s="120">
        <v>2</v>
      </c>
      <c r="P1183" s="120">
        <v>-9999</v>
      </c>
      <c r="Q1183" s="120">
        <v>131.30000305175801</v>
      </c>
      <c r="R1183" s="120">
        <v>106</v>
      </c>
      <c r="S1183" s="148">
        <v>15</v>
      </c>
      <c r="T1183" s="120">
        <v>-9999</v>
      </c>
      <c r="U1183" s="120">
        <v>15</v>
      </c>
      <c r="V1183" s="120">
        <v>-9999</v>
      </c>
      <c r="W1183" s="120">
        <v>-9999</v>
      </c>
      <c r="X1183" s="120">
        <v>-9999</v>
      </c>
      <c r="Y1183" s="120">
        <v>-9999</v>
      </c>
      <c r="Z1183" s="120">
        <v>-9999</v>
      </c>
      <c r="AA1183" s="120">
        <v>68</v>
      </c>
      <c r="AB1183" s="120">
        <v>14.5</v>
      </c>
      <c r="AC1183" s="120">
        <v>1182</v>
      </c>
      <c r="AD1183" s="120">
        <v>2454</v>
      </c>
      <c r="AE1183" s="120">
        <v>-9999</v>
      </c>
      <c r="AF1183" s="120">
        <v>-9999</v>
      </c>
      <c r="AG1183" s="120">
        <v>-9999</v>
      </c>
    </row>
    <row r="1184" spans="1:33" x14ac:dyDescent="0.25">
      <c r="A1184" s="120">
        <v>1183</v>
      </c>
      <c r="B1184" s="120" t="b">
        <v>0</v>
      </c>
      <c r="C1184" s="120">
        <v>0</v>
      </c>
      <c r="D1184" s="61">
        <v>5</v>
      </c>
      <c r="E1184" s="120">
        <v>1</v>
      </c>
      <c r="F1184" s="120" t="s">
        <v>177</v>
      </c>
      <c r="G1184" s="55">
        <v>125</v>
      </c>
      <c r="H1184" s="120">
        <v>706</v>
      </c>
      <c r="I1184" s="57">
        <v>100</v>
      </c>
      <c r="J1184" s="120">
        <v>110</v>
      </c>
      <c r="K1184" s="120">
        <v>5</v>
      </c>
      <c r="L1184" s="120">
        <v>100</v>
      </c>
      <c r="M1184" s="120">
        <v>-9999</v>
      </c>
      <c r="N1184" s="120">
        <v>-9999</v>
      </c>
      <c r="O1184" s="120">
        <v>3</v>
      </c>
      <c r="P1184" s="120">
        <v>-9999</v>
      </c>
      <c r="Q1184" s="120">
        <v>131.30000305175801</v>
      </c>
      <c r="R1184" s="120">
        <v>106</v>
      </c>
      <c r="S1184" s="148">
        <v>15</v>
      </c>
      <c r="T1184" s="120">
        <v>-9999</v>
      </c>
      <c r="U1184" s="120">
        <v>15</v>
      </c>
      <c r="V1184" s="120">
        <v>-9999</v>
      </c>
      <c r="W1184" s="120">
        <v>-9999</v>
      </c>
      <c r="X1184" s="120">
        <v>-9999</v>
      </c>
      <c r="Y1184" s="120">
        <v>-9999</v>
      </c>
      <c r="Z1184" s="120">
        <v>-9999</v>
      </c>
      <c r="AA1184" s="120">
        <v>68</v>
      </c>
      <c r="AB1184" s="120">
        <v>14.5</v>
      </c>
      <c r="AC1184" s="120">
        <v>1183</v>
      </c>
      <c r="AD1184" s="120">
        <v>2455</v>
      </c>
      <c r="AE1184" s="120">
        <v>-9999</v>
      </c>
      <c r="AF1184" s="120">
        <v>-9999</v>
      </c>
      <c r="AG1184" s="120">
        <v>-9999</v>
      </c>
    </row>
    <row r="1185" spans="1:33" x14ac:dyDescent="0.25">
      <c r="A1185" s="120">
        <v>1184</v>
      </c>
      <c r="B1185" s="120" t="b">
        <v>0</v>
      </c>
      <c r="C1185" s="120">
        <v>0</v>
      </c>
      <c r="D1185" s="61">
        <v>5</v>
      </c>
      <c r="E1185" s="120">
        <v>1</v>
      </c>
      <c r="F1185" s="120" t="s">
        <v>177</v>
      </c>
      <c r="G1185" s="55">
        <v>125</v>
      </c>
      <c r="H1185" s="120">
        <v>673</v>
      </c>
      <c r="I1185" s="57">
        <v>110</v>
      </c>
      <c r="J1185" s="120">
        <v>120</v>
      </c>
      <c r="K1185" s="120">
        <v>4</v>
      </c>
      <c r="L1185" s="120">
        <v>100</v>
      </c>
      <c r="M1185" s="120">
        <v>-9999</v>
      </c>
      <c r="N1185" s="120">
        <v>-9999</v>
      </c>
      <c r="O1185" s="120">
        <v>2</v>
      </c>
      <c r="P1185" s="120">
        <v>-9999</v>
      </c>
      <c r="Q1185" s="120">
        <v>131.30000305175801</v>
      </c>
      <c r="R1185" s="120">
        <v>106</v>
      </c>
      <c r="S1185" s="148">
        <v>15.699999809265099</v>
      </c>
      <c r="T1185" s="120">
        <v>-9999</v>
      </c>
      <c r="U1185" s="120">
        <v>15</v>
      </c>
      <c r="V1185" s="120">
        <v>-9999</v>
      </c>
      <c r="W1185" s="120">
        <v>-9999</v>
      </c>
      <c r="X1185" s="120">
        <v>-9999</v>
      </c>
      <c r="Y1185" s="120">
        <v>-9999</v>
      </c>
      <c r="Z1185" s="120">
        <v>-9999</v>
      </c>
      <c r="AA1185" s="120">
        <v>68</v>
      </c>
      <c r="AB1185" s="120">
        <v>14.5</v>
      </c>
      <c r="AC1185" s="120">
        <v>1184</v>
      </c>
      <c r="AD1185" s="120">
        <v>2456</v>
      </c>
      <c r="AE1185" s="120">
        <v>-9999</v>
      </c>
      <c r="AF1185" s="120">
        <v>-9999</v>
      </c>
      <c r="AG1185" s="120">
        <v>-9999</v>
      </c>
    </row>
    <row r="1186" spans="1:33" x14ac:dyDescent="0.25">
      <c r="A1186" s="120">
        <v>1185</v>
      </c>
      <c r="B1186" s="120" t="b">
        <v>0</v>
      </c>
      <c r="C1186" s="120">
        <v>0</v>
      </c>
      <c r="D1186" s="61">
        <v>5</v>
      </c>
      <c r="E1186" s="120">
        <v>1</v>
      </c>
      <c r="F1186" s="120" t="s">
        <v>177</v>
      </c>
      <c r="G1186" s="55">
        <v>125</v>
      </c>
      <c r="H1186" s="120">
        <v>673</v>
      </c>
      <c r="I1186" s="57">
        <v>110</v>
      </c>
      <c r="J1186" s="120">
        <v>120</v>
      </c>
      <c r="K1186" s="120">
        <v>5</v>
      </c>
      <c r="L1186" s="120">
        <v>100</v>
      </c>
      <c r="M1186" s="120">
        <v>-9999</v>
      </c>
      <c r="N1186" s="120">
        <v>-9999</v>
      </c>
      <c r="O1186" s="120">
        <v>3</v>
      </c>
      <c r="P1186" s="120">
        <v>-9999</v>
      </c>
      <c r="Q1186" s="120">
        <v>131.30000305175801</v>
      </c>
      <c r="R1186" s="120">
        <v>106</v>
      </c>
      <c r="S1186" s="148">
        <v>15.699999809265099</v>
      </c>
      <c r="T1186" s="120">
        <v>-9999</v>
      </c>
      <c r="U1186" s="120">
        <v>15</v>
      </c>
      <c r="V1186" s="120">
        <v>-9999</v>
      </c>
      <c r="W1186" s="120">
        <v>-9999</v>
      </c>
      <c r="X1186" s="120">
        <v>-9999</v>
      </c>
      <c r="Y1186" s="120">
        <v>-9999</v>
      </c>
      <c r="Z1186" s="120">
        <v>-9999</v>
      </c>
      <c r="AA1186" s="120">
        <v>68</v>
      </c>
      <c r="AB1186" s="120">
        <v>14.5</v>
      </c>
      <c r="AC1186" s="120">
        <v>1185</v>
      </c>
      <c r="AD1186" s="120">
        <v>2457</v>
      </c>
      <c r="AE1186" s="120">
        <v>-9999</v>
      </c>
      <c r="AF1186" s="120">
        <v>-9999</v>
      </c>
      <c r="AG1186" s="120">
        <v>-9999</v>
      </c>
    </row>
    <row r="1187" spans="1:33" x14ac:dyDescent="0.25">
      <c r="A1187" s="120">
        <v>1186</v>
      </c>
      <c r="B1187" s="120" t="b">
        <v>0</v>
      </c>
      <c r="C1187" s="120">
        <v>0</v>
      </c>
      <c r="D1187" s="61">
        <v>5</v>
      </c>
      <c r="E1187" s="120">
        <v>1</v>
      </c>
      <c r="F1187" s="120" t="s">
        <v>177</v>
      </c>
      <c r="G1187" s="55">
        <v>125</v>
      </c>
      <c r="H1187" s="120">
        <v>660</v>
      </c>
      <c r="I1187" s="57">
        <v>115</v>
      </c>
      <c r="J1187" s="120">
        <v>125</v>
      </c>
      <c r="K1187" s="120">
        <v>4</v>
      </c>
      <c r="L1187" s="120">
        <v>100</v>
      </c>
      <c r="M1187" s="120">
        <v>-9999</v>
      </c>
      <c r="N1187" s="120">
        <v>-9999</v>
      </c>
      <c r="O1187" s="120">
        <v>2</v>
      </c>
      <c r="P1187" s="120">
        <v>-9999</v>
      </c>
      <c r="Q1187" s="120">
        <v>131.30000305175801</v>
      </c>
      <c r="R1187" s="120">
        <v>106</v>
      </c>
      <c r="S1187" s="148">
        <v>16.100000381469702</v>
      </c>
      <c r="T1187" s="120">
        <v>-9999</v>
      </c>
      <c r="U1187" s="120">
        <v>15</v>
      </c>
      <c r="V1187" s="120">
        <v>-9999</v>
      </c>
      <c r="W1187" s="120">
        <v>-9999</v>
      </c>
      <c r="X1187" s="120">
        <v>-9999</v>
      </c>
      <c r="Y1187" s="120">
        <v>-9999</v>
      </c>
      <c r="Z1187" s="120">
        <v>-9999</v>
      </c>
      <c r="AA1187" s="120">
        <v>68</v>
      </c>
      <c r="AB1187" s="120">
        <v>14.5</v>
      </c>
      <c r="AC1187" s="120">
        <v>1186</v>
      </c>
      <c r="AD1187" s="120">
        <v>2458</v>
      </c>
      <c r="AE1187" s="120">
        <v>-9999</v>
      </c>
      <c r="AF1187" s="120">
        <v>-9999</v>
      </c>
      <c r="AG1187" s="120">
        <v>-9999</v>
      </c>
    </row>
    <row r="1188" spans="1:33" x14ac:dyDescent="0.25">
      <c r="A1188" s="120">
        <v>1187</v>
      </c>
      <c r="B1188" s="120" t="b">
        <v>0</v>
      </c>
      <c r="C1188" s="120">
        <v>0</v>
      </c>
      <c r="D1188" s="61">
        <v>5</v>
      </c>
      <c r="E1188" s="120">
        <v>1</v>
      </c>
      <c r="F1188" s="120" t="s">
        <v>177</v>
      </c>
      <c r="G1188" s="55">
        <v>125</v>
      </c>
      <c r="H1188" s="120">
        <v>660</v>
      </c>
      <c r="I1188" s="57">
        <v>115</v>
      </c>
      <c r="J1188" s="120">
        <v>125</v>
      </c>
      <c r="K1188" s="120">
        <v>5</v>
      </c>
      <c r="L1188" s="120">
        <v>100</v>
      </c>
      <c r="M1188" s="120">
        <v>-9999</v>
      </c>
      <c r="N1188" s="120">
        <v>-9999</v>
      </c>
      <c r="O1188" s="120">
        <v>3</v>
      </c>
      <c r="P1188" s="120">
        <v>-9999</v>
      </c>
      <c r="Q1188" s="120">
        <v>131.30000305175801</v>
      </c>
      <c r="R1188" s="120">
        <v>106</v>
      </c>
      <c r="S1188" s="148">
        <v>16.100000381469702</v>
      </c>
      <c r="T1188" s="120">
        <v>-9999</v>
      </c>
      <c r="U1188" s="120">
        <v>15</v>
      </c>
      <c r="V1188" s="120">
        <v>-9999</v>
      </c>
      <c r="W1188" s="120">
        <v>-9999</v>
      </c>
      <c r="X1188" s="120">
        <v>-9999</v>
      </c>
      <c r="Y1188" s="120">
        <v>-9999</v>
      </c>
      <c r="Z1188" s="120">
        <v>-9999</v>
      </c>
      <c r="AA1188" s="120">
        <v>68</v>
      </c>
      <c r="AB1188" s="120">
        <v>14.5</v>
      </c>
      <c r="AC1188" s="120">
        <v>1187</v>
      </c>
      <c r="AD1188" s="120">
        <v>2459</v>
      </c>
      <c r="AE1188" s="120">
        <v>-9999</v>
      </c>
      <c r="AF1188" s="120">
        <v>-9999</v>
      </c>
      <c r="AG1188" s="120">
        <v>-9999</v>
      </c>
    </row>
    <row r="1189" spans="1:33" x14ac:dyDescent="0.25">
      <c r="A1189" s="120">
        <v>1188</v>
      </c>
      <c r="B1189" s="120" t="b">
        <v>0</v>
      </c>
      <c r="C1189" s="120">
        <v>0</v>
      </c>
      <c r="D1189" s="61">
        <v>5</v>
      </c>
      <c r="E1189" s="120">
        <v>1</v>
      </c>
      <c r="F1189" s="120" t="s">
        <v>177</v>
      </c>
      <c r="G1189" s="55">
        <v>125</v>
      </c>
      <c r="H1189" s="120">
        <v>634</v>
      </c>
      <c r="I1189" s="57">
        <v>125</v>
      </c>
      <c r="J1189" s="120">
        <v>135</v>
      </c>
      <c r="K1189" s="120">
        <v>4</v>
      </c>
      <c r="L1189" s="120">
        <v>100</v>
      </c>
      <c r="M1189" s="120">
        <v>-9999</v>
      </c>
      <c r="N1189" s="120">
        <v>-9999</v>
      </c>
      <c r="O1189" s="120">
        <v>2</v>
      </c>
      <c r="P1189" s="120">
        <v>-9999</v>
      </c>
      <c r="Q1189" s="120">
        <v>131.30000305175801</v>
      </c>
      <c r="R1189" s="120">
        <v>106</v>
      </c>
      <c r="S1189" s="148">
        <v>16.700000762939499</v>
      </c>
      <c r="T1189" s="120">
        <v>-9999</v>
      </c>
      <c r="U1189" s="120">
        <v>15</v>
      </c>
      <c r="V1189" s="120">
        <v>-9999</v>
      </c>
      <c r="W1189" s="120">
        <v>-9999</v>
      </c>
      <c r="X1189" s="120">
        <v>-9999</v>
      </c>
      <c r="Y1189" s="120">
        <v>-9999</v>
      </c>
      <c r="Z1189" s="120">
        <v>-9999</v>
      </c>
      <c r="AA1189" s="120">
        <v>68</v>
      </c>
      <c r="AB1189" s="120">
        <v>14.5</v>
      </c>
      <c r="AC1189" s="120">
        <v>1188</v>
      </c>
      <c r="AD1189" s="120">
        <v>2460</v>
      </c>
      <c r="AE1189" s="120">
        <v>-9999</v>
      </c>
      <c r="AF1189" s="120">
        <v>-9999</v>
      </c>
      <c r="AG1189" s="120">
        <v>-9999</v>
      </c>
    </row>
    <row r="1190" spans="1:33" x14ac:dyDescent="0.25">
      <c r="A1190" s="120">
        <v>1189</v>
      </c>
      <c r="B1190" s="120" t="b">
        <v>0</v>
      </c>
      <c r="C1190" s="120">
        <v>0</v>
      </c>
      <c r="D1190" s="61">
        <v>5</v>
      </c>
      <c r="E1190" s="120">
        <v>1</v>
      </c>
      <c r="F1190" s="120" t="s">
        <v>177</v>
      </c>
      <c r="G1190" s="55">
        <v>125</v>
      </c>
      <c r="H1190" s="120">
        <v>634</v>
      </c>
      <c r="I1190" s="57">
        <v>125</v>
      </c>
      <c r="J1190" s="120">
        <v>135</v>
      </c>
      <c r="K1190" s="120">
        <v>5</v>
      </c>
      <c r="L1190" s="120">
        <v>100</v>
      </c>
      <c r="M1190" s="120">
        <v>-9999</v>
      </c>
      <c r="N1190" s="120">
        <v>-9999</v>
      </c>
      <c r="O1190" s="120">
        <v>3</v>
      </c>
      <c r="P1190" s="120">
        <v>-9999</v>
      </c>
      <c r="Q1190" s="120">
        <v>131.30000305175801</v>
      </c>
      <c r="R1190" s="120">
        <v>106</v>
      </c>
      <c r="S1190" s="148">
        <v>16.700000762939499</v>
      </c>
      <c r="T1190" s="120">
        <v>-9999</v>
      </c>
      <c r="U1190" s="120">
        <v>15</v>
      </c>
      <c r="V1190" s="120">
        <v>-9999</v>
      </c>
      <c r="W1190" s="120">
        <v>-9999</v>
      </c>
      <c r="X1190" s="120">
        <v>-9999</v>
      </c>
      <c r="Y1190" s="120">
        <v>-9999</v>
      </c>
      <c r="Z1190" s="120">
        <v>-9999</v>
      </c>
      <c r="AA1190" s="120">
        <v>68</v>
      </c>
      <c r="AB1190" s="120">
        <v>14.5</v>
      </c>
      <c r="AC1190" s="120">
        <v>1189</v>
      </c>
      <c r="AD1190" s="120">
        <v>2461</v>
      </c>
      <c r="AE1190" s="120">
        <v>-9999</v>
      </c>
      <c r="AF1190" s="120">
        <v>-9999</v>
      </c>
      <c r="AG1190" s="120">
        <v>-9999</v>
      </c>
    </row>
    <row r="1191" spans="1:33" x14ac:dyDescent="0.25">
      <c r="A1191" s="120">
        <v>1190</v>
      </c>
      <c r="B1191" s="120" t="b">
        <v>0</v>
      </c>
      <c r="C1191" s="120">
        <v>0</v>
      </c>
      <c r="D1191" s="61">
        <v>5</v>
      </c>
      <c r="E1191" s="120">
        <v>1</v>
      </c>
      <c r="F1191" s="120" t="s">
        <v>177</v>
      </c>
      <c r="G1191" s="55">
        <v>125</v>
      </c>
      <c r="H1191" s="120">
        <v>619</v>
      </c>
      <c r="I1191" s="57">
        <v>130</v>
      </c>
      <c r="J1191" s="120">
        <v>140</v>
      </c>
      <c r="K1191" s="120">
        <v>4</v>
      </c>
      <c r="L1191" s="120">
        <v>100</v>
      </c>
      <c r="M1191" s="120">
        <v>-9999</v>
      </c>
      <c r="N1191" s="120">
        <v>-9999</v>
      </c>
      <c r="O1191" s="120">
        <v>2</v>
      </c>
      <c r="P1191" s="120">
        <v>-9999</v>
      </c>
      <c r="Q1191" s="120">
        <v>131.30000305175801</v>
      </c>
      <c r="R1191" s="120">
        <v>106</v>
      </c>
      <c r="S1191" s="148">
        <v>17.100000381469702</v>
      </c>
      <c r="T1191" s="120">
        <v>-9999</v>
      </c>
      <c r="U1191" s="120">
        <v>15</v>
      </c>
      <c r="V1191" s="120">
        <v>-9999</v>
      </c>
      <c r="W1191" s="120">
        <v>-9999</v>
      </c>
      <c r="X1191" s="120">
        <v>-9999</v>
      </c>
      <c r="Y1191" s="120">
        <v>-9999</v>
      </c>
      <c r="Z1191" s="120">
        <v>-9999</v>
      </c>
      <c r="AA1191" s="120">
        <v>68</v>
      </c>
      <c r="AB1191" s="120">
        <v>14.5</v>
      </c>
      <c r="AC1191" s="120">
        <v>1190</v>
      </c>
      <c r="AD1191" s="120">
        <v>2462</v>
      </c>
      <c r="AE1191" s="120">
        <v>-9999</v>
      </c>
      <c r="AF1191" s="120">
        <v>-9999</v>
      </c>
      <c r="AG1191" s="120">
        <v>-9999</v>
      </c>
    </row>
    <row r="1192" spans="1:33" x14ac:dyDescent="0.25">
      <c r="A1192" s="120">
        <v>1191</v>
      </c>
      <c r="B1192" s="120" t="b">
        <v>0</v>
      </c>
      <c r="C1192" s="120">
        <v>0</v>
      </c>
      <c r="D1192" s="61">
        <v>5</v>
      </c>
      <c r="E1192" s="120">
        <v>1</v>
      </c>
      <c r="F1192" s="120" t="s">
        <v>177</v>
      </c>
      <c r="G1192" s="55">
        <v>125</v>
      </c>
      <c r="H1192" s="120">
        <v>619</v>
      </c>
      <c r="I1192" s="57">
        <v>130</v>
      </c>
      <c r="J1192" s="120">
        <v>140</v>
      </c>
      <c r="K1192" s="120">
        <v>5</v>
      </c>
      <c r="L1192" s="120">
        <v>100</v>
      </c>
      <c r="M1192" s="120">
        <v>-9999</v>
      </c>
      <c r="N1192" s="120">
        <v>-9999</v>
      </c>
      <c r="O1192" s="120">
        <v>3</v>
      </c>
      <c r="P1192" s="120">
        <v>-9999</v>
      </c>
      <c r="Q1192" s="120">
        <v>131.30000305175801</v>
      </c>
      <c r="R1192" s="120">
        <v>106</v>
      </c>
      <c r="S1192" s="148">
        <v>17.100000381469702</v>
      </c>
      <c r="T1192" s="120">
        <v>-9999</v>
      </c>
      <c r="U1192" s="120">
        <v>15</v>
      </c>
      <c r="V1192" s="120">
        <v>-9999</v>
      </c>
      <c r="W1192" s="120">
        <v>-9999</v>
      </c>
      <c r="X1192" s="120">
        <v>-9999</v>
      </c>
      <c r="Y1192" s="120">
        <v>-9999</v>
      </c>
      <c r="Z1192" s="120">
        <v>-9999</v>
      </c>
      <c r="AA1192" s="120">
        <v>68</v>
      </c>
      <c r="AB1192" s="120">
        <v>14.5</v>
      </c>
      <c r="AC1192" s="120">
        <v>1191</v>
      </c>
      <c r="AD1192" s="120">
        <v>2463</v>
      </c>
      <c r="AE1192" s="120">
        <v>-9999</v>
      </c>
      <c r="AF1192" s="120">
        <v>-9999</v>
      </c>
      <c r="AG1192" s="120">
        <v>-9999</v>
      </c>
    </row>
    <row r="1193" spans="1:33" x14ac:dyDescent="0.25">
      <c r="A1193" s="120">
        <v>1192</v>
      </c>
      <c r="B1193" s="120" t="b">
        <v>0</v>
      </c>
      <c r="C1193" s="120">
        <v>0</v>
      </c>
      <c r="D1193" s="61">
        <v>5</v>
      </c>
      <c r="E1193" s="120">
        <v>1</v>
      </c>
      <c r="F1193" s="120" t="s">
        <v>177</v>
      </c>
      <c r="G1193" s="55">
        <v>125</v>
      </c>
      <c r="H1193" s="120">
        <v>599</v>
      </c>
      <c r="I1193" s="57">
        <v>140</v>
      </c>
      <c r="J1193" s="120">
        <v>150</v>
      </c>
      <c r="K1193" s="120">
        <v>4</v>
      </c>
      <c r="L1193" s="120">
        <v>100</v>
      </c>
      <c r="M1193" s="120">
        <v>-9999</v>
      </c>
      <c r="N1193" s="120">
        <v>-9999</v>
      </c>
      <c r="O1193" s="120">
        <v>2</v>
      </c>
      <c r="P1193" s="120">
        <v>-9999</v>
      </c>
      <c r="Q1193" s="120">
        <v>131.30000305175801</v>
      </c>
      <c r="R1193" s="120">
        <v>106</v>
      </c>
      <c r="S1193" s="148">
        <v>17.700000762939499</v>
      </c>
      <c r="T1193" s="120">
        <v>-9999</v>
      </c>
      <c r="U1193" s="120">
        <v>15</v>
      </c>
      <c r="V1193" s="120">
        <v>-9999</v>
      </c>
      <c r="W1193" s="120">
        <v>-9999</v>
      </c>
      <c r="X1193" s="120">
        <v>-9999</v>
      </c>
      <c r="Y1193" s="120">
        <v>-9999</v>
      </c>
      <c r="Z1193" s="120">
        <v>-9999</v>
      </c>
      <c r="AA1193" s="120">
        <v>68</v>
      </c>
      <c r="AB1193" s="120">
        <v>14.5</v>
      </c>
      <c r="AC1193" s="120">
        <v>1192</v>
      </c>
      <c r="AD1193" s="120">
        <v>2464</v>
      </c>
      <c r="AE1193" s="120">
        <v>-9999</v>
      </c>
      <c r="AF1193" s="120">
        <v>-9999</v>
      </c>
      <c r="AG1193" s="120">
        <v>-9999</v>
      </c>
    </row>
    <row r="1194" spans="1:33" x14ac:dyDescent="0.25">
      <c r="A1194" s="120">
        <v>1193</v>
      </c>
      <c r="B1194" s="120" t="b">
        <v>0</v>
      </c>
      <c r="C1194" s="120">
        <v>0</v>
      </c>
      <c r="D1194" s="61">
        <v>5</v>
      </c>
      <c r="E1194" s="120">
        <v>1</v>
      </c>
      <c r="F1194" s="120" t="s">
        <v>177</v>
      </c>
      <c r="G1194" s="55">
        <v>125</v>
      </c>
      <c r="H1194" s="120">
        <v>599</v>
      </c>
      <c r="I1194" s="57">
        <v>140</v>
      </c>
      <c r="J1194" s="120">
        <v>150</v>
      </c>
      <c r="K1194" s="120">
        <v>5</v>
      </c>
      <c r="L1194" s="120">
        <v>100</v>
      </c>
      <c r="M1194" s="120">
        <v>-9999</v>
      </c>
      <c r="N1194" s="120">
        <v>-9999</v>
      </c>
      <c r="O1194" s="120">
        <v>3</v>
      </c>
      <c r="P1194" s="120">
        <v>-9999</v>
      </c>
      <c r="Q1194" s="120">
        <v>131.30000305175801</v>
      </c>
      <c r="R1194" s="120">
        <v>106</v>
      </c>
      <c r="S1194" s="148">
        <v>17.700000762939499</v>
      </c>
      <c r="T1194" s="120">
        <v>-9999</v>
      </c>
      <c r="U1194" s="120">
        <v>15</v>
      </c>
      <c r="V1194" s="120">
        <v>-9999</v>
      </c>
      <c r="W1194" s="120">
        <v>-9999</v>
      </c>
      <c r="X1194" s="120">
        <v>-9999</v>
      </c>
      <c r="Y1194" s="120">
        <v>-9999</v>
      </c>
      <c r="Z1194" s="120">
        <v>-9999</v>
      </c>
      <c r="AA1194" s="120">
        <v>68</v>
      </c>
      <c r="AB1194" s="120">
        <v>14.5</v>
      </c>
      <c r="AC1194" s="120">
        <v>1193</v>
      </c>
      <c r="AD1194" s="120">
        <v>2465</v>
      </c>
      <c r="AE1194" s="120">
        <v>-9999</v>
      </c>
      <c r="AF1194" s="120">
        <v>-9999</v>
      </c>
      <c r="AG1194" s="120">
        <v>-9999</v>
      </c>
    </row>
    <row r="1195" spans="1:33" x14ac:dyDescent="0.25">
      <c r="A1195" s="120">
        <v>1194</v>
      </c>
      <c r="B1195" s="120" t="b">
        <v>0</v>
      </c>
      <c r="C1195" s="120">
        <v>0</v>
      </c>
      <c r="D1195" s="61">
        <v>5</v>
      </c>
      <c r="E1195" s="120">
        <v>1</v>
      </c>
      <c r="F1195" s="120" t="s">
        <v>177</v>
      </c>
      <c r="G1195" s="55">
        <v>125</v>
      </c>
      <c r="H1195" s="120">
        <v>581</v>
      </c>
      <c r="I1195" s="57">
        <v>150</v>
      </c>
      <c r="J1195" s="120">
        <v>160</v>
      </c>
      <c r="K1195" s="120">
        <v>4</v>
      </c>
      <c r="L1195" s="120">
        <v>100</v>
      </c>
      <c r="M1195" s="120">
        <v>-9999</v>
      </c>
      <c r="N1195" s="120">
        <v>-9999</v>
      </c>
      <c r="O1195" s="120">
        <v>2</v>
      </c>
      <c r="P1195" s="120">
        <v>-9999</v>
      </c>
      <c r="Q1195" s="120">
        <v>131.30000305175801</v>
      </c>
      <c r="R1195" s="120">
        <v>106</v>
      </c>
      <c r="S1195" s="148">
        <v>18.200000762939499</v>
      </c>
      <c r="T1195" s="120">
        <v>-9999</v>
      </c>
      <c r="U1195" s="120">
        <v>15</v>
      </c>
      <c r="V1195" s="120">
        <v>-9999</v>
      </c>
      <c r="W1195" s="120">
        <v>-9999</v>
      </c>
      <c r="X1195" s="120">
        <v>-9999</v>
      </c>
      <c r="Y1195" s="120">
        <v>-9999</v>
      </c>
      <c r="Z1195" s="120">
        <v>-9999</v>
      </c>
      <c r="AA1195" s="120">
        <v>68</v>
      </c>
      <c r="AB1195" s="120">
        <v>14.5</v>
      </c>
      <c r="AC1195" s="120">
        <v>1194</v>
      </c>
      <c r="AD1195" s="120">
        <v>2466</v>
      </c>
      <c r="AE1195" s="120">
        <v>-9999</v>
      </c>
      <c r="AF1195" s="120">
        <v>-9999</v>
      </c>
      <c r="AG1195" s="120">
        <v>-9999</v>
      </c>
    </row>
    <row r="1196" spans="1:33" x14ac:dyDescent="0.25">
      <c r="A1196" s="120">
        <v>1195</v>
      </c>
      <c r="B1196" s="120" t="b">
        <v>0</v>
      </c>
      <c r="C1196" s="120">
        <v>0</v>
      </c>
      <c r="D1196" s="61">
        <v>5</v>
      </c>
      <c r="E1196" s="120">
        <v>1</v>
      </c>
      <c r="F1196" s="120" t="s">
        <v>177</v>
      </c>
      <c r="G1196" s="55">
        <v>125</v>
      </c>
      <c r="H1196" s="120">
        <v>581</v>
      </c>
      <c r="I1196" s="57">
        <v>150</v>
      </c>
      <c r="J1196" s="120">
        <v>160</v>
      </c>
      <c r="K1196" s="120">
        <v>5</v>
      </c>
      <c r="L1196" s="120">
        <v>100</v>
      </c>
      <c r="M1196" s="120">
        <v>-9999</v>
      </c>
      <c r="N1196" s="120">
        <v>-9999</v>
      </c>
      <c r="O1196" s="120">
        <v>3</v>
      </c>
      <c r="P1196" s="120">
        <v>-9999</v>
      </c>
      <c r="Q1196" s="120">
        <v>131.30000305175801</v>
      </c>
      <c r="R1196" s="120">
        <v>106</v>
      </c>
      <c r="S1196" s="148">
        <v>18.200000762939499</v>
      </c>
      <c r="T1196" s="120">
        <v>-9999</v>
      </c>
      <c r="U1196" s="120">
        <v>15</v>
      </c>
      <c r="V1196" s="120">
        <v>-9999</v>
      </c>
      <c r="W1196" s="120">
        <v>-9999</v>
      </c>
      <c r="X1196" s="120">
        <v>-9999</v>
      </c>
      <c r="Y1196" s="120">
        <v>-9999</v>
      </c>
      <c r="Z1196" s="120">
        <v>-9999</v>
      </c>
      <c r="AA1196" s="120">
        <v>68</v>
      </c>
      <c r="AB1196" s="120">
        <v>14.5</v>
      </c>
      <c r="AC1196" s="120">
        <v>1195</v>
      </c>
      <c r="AD1196" s="120">
        <v>2467</v>
      </c>
      <c r="AE1196" s="120">
        <v>-9999</v>
      </c>
      <c r="AF1196" s="120">
        <v>-9999</v>
      </c>
      <c r="AG1196" s="120">
        <v>-9999</v>
      </c>
    </row>
    <row r="1197" spans="1:33" x14ac:dyDescent="0.25">
      <c r="A1197" s="120">
        <v>1196</v>
      </c>
      <c r="B1197" s="120" t="b">
        <v>0</v>
      </c>
      <c r="C1197" s="120">
        <v>0</v>
      </c>
      <c r="D1197" s="61">
        <v>5</v>
      </c>
      <c r="E1197" s="120">
        <v>1</v>
      </c>
      <c r="F1197" s="120" t="s">
        <v>178</v>
      </c>
      <c r="G1197" s="55">
        <v>150</v>
      </c>
      <c r="H1197" s="120">
        <v>949</v>
      </c>
      <c r="I1197" s="57">
        <v>80</v>
      </c>
      <c r="J1197" s="120">
        <v>90</v>
      </c>
      <c r="K1197" s="120">
        <v>4</v>
      </c>
      <c r="L1197" s="120">
        <v>100</v>
      </c>
      <c r="M1197" s="120">
        <v>-9999</v>
      </c>
      <c r="N1197" s="120">
        <v>-9999</v>
      </c>
      <c r="O1197" s="120">
        <v>2</v>
      </c>
      <c r="P1197" s="120">
        <v>-9999</v>
      </c>
      <c r="Q1197" s="120">
        <v>157.5</v>
      </c>
      <c r="R1197" s="120">
        <v>126.300003051758</v>
      </c>
      <c r="S1197" s="148">
        <v>13.300000190734901</v>
      </c>
      <c r="T1197" s="120">
        <v>-9999</v>
      </c>
      <c r="U1197" s="120">
        <v>15</v>
      </c>
      <c r="V1197" s="120">
        <v>-9999</v>
      </c>
      <c r="W1197" s="120">
        <v>-9999</v>
      </c>
      <c r="X1197" s="120">
        <v>-9999</v>
      </c>
      <c r="Y1197" s="120">
        <v>-9999</v>
      </c>
      <c r="Z1197" s="120">
        <v>-9999</v>
      </c>
      <c r="AA1197" s="120">
        <v>68</v>
      </c>
      <c r="AB1197" s="120">
        <v>14.5</v>
      </c>
      <c r="AC1197" s="120">
        <v>1196</v>
      </c>
      <c r="AD1197" s="120">
        <v>2468</v>
      </c>
      <c r="AE1197" s="120">
        <v>-9999</v>
      </c>
      <c r="AF1197" s="120">
        <v>-9999</v>
      </c>
      <c r="AG1197" s="120">
        <v>-9999</v>
      </c>
    </row>
    <row r="1198" spans="1:33" x14ac:dyDescent="0.25">
      <c r="A1198" s="120">
        <v>1197</v>
      </c>
      <c r="B1198" s="120" t="b">
        <v>0</v>
      </c>
      <c r="C1198" s="120">
        <v>0</v>
      </c>
      <c r="D1198" s="61">
        <v>5</v>
      </c>
      <c r="E1198" s="120">
        <v>1</v>
      </c>
      <c r="F1198" s="120" t="s">
        <v>178</v>
      </c>
      <c r="G1198" s="55">
        <v>150</v>
      </c>
      <c r="H1198" s="120">
        <v>949</v>
      </c>
      <c r="I1198" s="57">
        <v>80</v>
      </c>
      <c r="J1198" s="120">
        <v>90</v>
      </c>
      <c r="K1198" s="120">
        <v>5</v>
      </c>
      <c r="L1198" s="120">
        <v>100</v>
      </c>
      <c r="M1198" s="120">
        <v>-9999</v>
      </c>
      <c r="N1198" s="120">
        <v>-9999</v>
      </c>
      <c r="O1198" s="120">
        <v>3</v>
      </c>
      <c r="P1198" s="120">
        <v>-9999</v>
      </c>
      <c r="Q1198" s="120">
        <v>157.5</v>
      </c>
      <c r="R1198" s="120">
        <v>126.300003051758</v>
      </c>
      <c r="S1198" s="148">
        <v>13.300000190734901</v>
      </c>
      <c r="T1198" s="120">
        <v>-9999</v>
      </c>
      <c r="U1198" s="120">
        <v>15</v>
      </c>
      <c r="V1198" s="120">
        <v>-9999</v>
      </c>
      <c r="W1198" s="120">
        <v>-9999</v>
      </c>
      <c r="X1198" s="120">
        <v>-9999</v>
      </c>
      <c r="Y1198" s="120">
        <v>-9999</v>
      </c>
      <c r="Z1198" s="120">
        <v>-9999</v>
      </c>
      <c r="AA1198" s="120">
        <v>68</v>
      </c>
      <c r="AB1198" s="120">
        <v>14.5</v>
      </c>
      <c r="AC1198" s="120">
        <v>1197</v>
      </c>
      <c r="AD1198" s="120">
        <v>2469</v>
      </c>
      <c r="AE1198" s="120">
        <v>-9999</v>
      </c>
      <c r="AF1198" s="120">
        <v>-9999</v>
      </c>
      <c r="AG1198" s="120">
        <v>-9999</v>
      </c>
    </row>
    <row r="1199" spans="1:33" x14ac:dyDescent="0.25">
      <c r="A1199" s="120">
        <v>1198</v>
      </c>
      <c r="B1199" s="120" t="b">
        <v>0</v>
      </c>
      <c r="C1199" s="120">
        <v>0</v>
      </c>
      <c r="D1199" s="61">
        <v>5</v>
      </c>
      <c r="E1199" s="120">
        <v>1</v>
      </c>
      <c r="F1199" s="120" t="s">
        <v>178</v>
      </c>
      <c r="G1199" s="55">
        <v>150</v>
      </c>
      <c r="H1199" s="120">
        <v>847</v>
      </c>
      <c r="I1199" s="57">
        <v>100</v>
      </c>
      <c r="J1199" s="120">
        <v>110</v>
      </c>
      <c r="K1199" s="120">
        <v>4</v>
      </c>
      <c r="L1199" s="120">
        <v>100</v>
      </c>
      <c r="M1199" s="120">
        <v>-9999</v>
      </c>
      <c r="N1199" s="120">
        <v>-9999</v>
      </c>
      <c r="O1199" s="120">
        <v>2</v>
      </c>
      <c r="P1199" s="120">
        <v>-9999</v>
      </c>
      <c r="Q1199" s="120">
        <v>157.5</v>
      </c>
      <c r="R1199" s="120">
        <v>126.300003051758</v>
      </c>
      <c r="S1199" s="148">
        <v>14.8999996185303</v>
      </c>
      <c r="T1199" s="120">
        <v>-9999</v>
      </c>
      <c r="U1199" s="120">
        <v>15</v>
      </c>
      <c r="V1199" s="120">
        <v>-9999</v>
      </c>
      <c r="W1199" s="120">
        <v>-9999</v>
      </c>
      <c r="X1199" s="120">
        <v>-9999</v>
      </c>
      <c r="Y1199" s="120">
        <v>-9999</v>
      </c>
      <c r="Z1199" s="120">
        <v>-9999</v>
      </c>
      <c r="AA1199" s="120">
        <v>68</v>
      </c>
      <c r="AB1199" s="120">
        <v>14.5</v>
      </c>
      <c r="AC1199" s="120">
        <v>1198</v>
      </c>
      <c r="AD1199" s="120">
        <v>2470</v>
      </c>
      <c r="AE1199" s="120">
        <v>-9999</v>
      </c>
      <c r="AF1199" s="120">
        <v>-9999</v>
      </c>
      <c r="AG1199" s="120">
        <v>-9999</v>
      </c>
    </row>
    <row r="1200" spans="1:33" x14ac:dyDescent="0.25">
      <c r="A1200" s="120">
        <v>1199</v>
      </c>
      <c r="B1200" s="120" t="b">
        <v>0</v>
      </c>
      <c r="C1200" s="120">
        <v>0</v>
      </c>
      <c r="D1200" s="61">
        <v>5</v>
      </c>
      <c r="E1200" s="120">
        <v>1</v>
      </c>
      <c r="F1200" s="120" t="s">
        <v>178</v>
      </c>
      <c r="G1200" s="55">
        <v>150</v>
      </c>
      <c r="H1200" s="120">
        <v>847</v>
      </c>
      <c r="I1200" s="57">
        <v>100</v>
      </c>
      <c r="J1200" s="120">
        <v>110</v>
      </c>
      <c r="K1200" s="120">
        <v>5</v>
      </c>
      <c r="L1200" s="120">
        <v>100</v>
      </c>
      <c r="M1200" s="120">
        <v>-9999</v>
      </c>
      <c r="N1200" s="120">
        <v>-9999</v>
      </c>
      <c r="O1200" s="120">
        <v>3</v>
      </c>
      <c r="P1200" s="120">
        <v>-9999</v>
      </c>
      <c r="Q1200" s="120">
        <v>157.5</v>
      </c>
      <c r="R1200" s="120">
        <v>126.300003051758</v>
      </c>
      <c r="S1200" s="148">
        <v>14.8999996185303</v>
      </c>
      <c r="T1200" s="120">
        <v>-9999</v>
      </c>
      <c r="U1200" s="120">
        <v>15</v>
      </c>
      <c r="V1200" s="120">
        <v>-9999</v>
      </c>
      <c r="W1200" s="120">
        <v>-9999</v>
      </c>
      <c r="X1200" s="120">
        <v>-9999</v>
      </c>
      <c r="Y1200" s="120">
        <v>-9999</v>
      </c>
      <c r="Z1200" s="120">
        <v>-9999</v>
      </c>
      <c r="AA1200" s="120">
        <v>68</v>
      </c>
      <c r="AB1200" s="120">
        <v>14.5</v>
      </c>
      <c r="AC1200" s="120">
        <v>1199</v>
      </c>
      <c r="AD1200" s="120">
        <v>2471</v>
      </c>
      <c r="AE1200" s="120">
        <v>-9999</v>
      </c>
      <c r="AF1200" s="120">
        <v>-9999</v>
      </c>
      <c r="AG1200" s="120">
        <v>-9999</v>
      </c>
    </row>
    <row r="1201" spans="1:33" x14ac:dyDescent="0.25">
      <c r="A1201" s="120">
        <v>1200</v>
      </c>
      <c r="B1201" s="120" t="b">
        <v>0</v>
      </c>
      <c r="C1201" s="120">
        <v>0</v>
      </c>
      <c r="D1201" s="61">
        <v>5</v>
      </c>
      <c r="E1201" s="120">
        <v>1</v>
      </c>
      <c r="F1201" s="120" t="s">
        <v>178</v>
      </c>
      <c r="G1201" s="55">
        <v>150</v>
      </c>
      <c r="H1201" s="120">
        <v>808</v>
      </c>
      <c r="I1201" s="57">
        <v>110</v>
      </c>
      <c r="J1201" s="120">
        <v>120</v>
      </c>
      <c r="K1201" s="120">
        <v>4</v>
      </c>
      <c r="L1201" s="120">
        <v>100</v>
      </c>
      <c r="M1201" s="120">
        <v>-9999</v>
      </c>
      <c r="N1201" s="120">
        <v>-9999</v>
      </c>
      <c r="O1201" s="120">
        <v>2</v>
      </c>
      <c r="P1201" s="120">
        <v>-9999</v>
      </c>
      <c r="Q1201" s="120">
        <v>157.5</v>
      </c>
      <c r="R1201" s="120">
        <v>126.300003051758</v>
      </c>
      <c r="S1201" s="148">
        <v>15.6000003814697</v>
      </c>
      <c r="T1201" s="120">
        <v>-9999</v>
      </c>
      <c r="U1201" s="120">
        <v>15</v>
      </c>
      <c r="V1201" s="120">
        <v>-9999</v>
      </c>
      <c r="W1201" s="120">
        <v>-9999</v>
      </c>
      <c r="X1201" s="120">
        <v>-9999</v>
      </c>
      <c r="Y1201" s="120">
        <v>-9999</v>
      </c>
      <c r="Z1201" s="120">
        <v>-9999</v>
      </c>
      <c r="AA1201" s="120">
        <v>68</v>
      </c>
      <c r="AB1201" s="120">
        <v>14.5</v>
      </c>
      <c r="AC1201" s="120">
        <v>1200</v>
      </c>
      <c r="AD1201" s="120">
        <v>2472</v>
      </c>
      <c r="AE1201" s="120">
        <v>-9999</v>
      </c>
      <c r="AF1201" s="120">
        <v>-9999</v>
      </c>
      <c r="AG1201" s="120">
        <v>-9999</v>
      </c>
    </row>
    <row r="1202" spans="1:33" x14ac:dyDescent="0.25">
      <c r="A1202" s="120">
        <v>1201</v>
      </c>
      <c r="B1202" s="120" t="b">
        <v>0</v>
      </c>
      <c r="C1202" s="120">
        <v>0</v>
      </c>
      <c r="D1202" s="61">
        <v>5</v>
      </c>
      <c r="E1202" s="120">
        <v>1</v>
      </c>
      <c r="F1202" s="120" t="s">
        <v>178</v>
      </c>
      <c r="G1202" s="55">
        <v>150</v>
      </c>
      <c r="H1202" s="120">
        <v>808</v>
      </c>
      <c r="I1202" s="57">
        <v>110</v>
      </c>
      <c r="J1202" s="120">
        <v>120</v>
      </c>
      <c r="K1202" s="120">
        <v>5</v>
      </c>
      <c r="L1202" s="120">
        <v>100</v>
      </c>
      <c r="M1202" s="120">
        <v>-9999</v>
      </c>
      <c r="N1202" s="120">
        <v>-9999</v>
      </c>
      <c r="O1202" s="120">
        <v>3</v>
      </c>
      <c r="P1202" s="120">
        <v>-9999</v>
      </c>
      <c r="Q1202" s="120">
        <v>157.5</v>
      </c>
      <c r="R1202" s="120">
        <v>126.300003051758</v>
      </c>
      <c r="S1202" s="148">
        <v>15.6000003814697</v>
      </c>
      <c r="T1202" s="120">
        <v>-9999</v>
      </c>
      <c r="U1202" s="120">
        <v>15</v>
      </c>
      <c r="V1202" s="120">
        <v>-9999</v>
      </c>
      <c r="W1202" s="120">
        <v>-9999</v>
      </c>
      <c r="X1202" s="120">
        <v>-9999</v>
      </c>
      <c r="Y1202" s="120">
        <v>-9999</v>
      </c>
      <c r="Z1202" s="120">
        <v>-9999</v>
      </c>
      <c r="AA1202" s="120">
        <v>68</v>
      </c>
      <c r="AB1202" s="120">
        <v>14.5</v>
      </c>
      <c r="AC1202" s="120">
        <v>1201</v>
      </c>
      <c r="AD1202" s="120">
        <v>2473</v>
      </c>
      <c r="AE1202" s="120">
        <v>-9999</v>
      </c>
      <c r="AF1202" s="120">
        <v>-9999</v>
      </c>
      <c r="AG1202" s="120">
        <v>-9999</v>
      </c>
    </row>
    <row r="1203" spans="1:33" x14ac:dyDescent="0.25">
      <c r="A1203" s="120">
        <v>1202</v>
      </c>
      <c r="B1203" s="120" t="b">
        <v>0</v>
      </c>
      <c r="C1203" s="120">
        <v>0</v>
      </c>
      <c r="D1203" s="61">
        <v>5</v>
      </c>
      <c r="E1203" s="120">
        <v>1</v>
      </c>
      <c r="F1203" s="120" t="s">
        <v>178</v>
      </c>
      <c r="G1203" s="55">
        <v>150</v>
      </c>
      <c r="H1203" s="120">
        <v>791</v>
      </c>
      <c r="I1203" s="57">
        <v>115</v>
      </c>
      <c r="J1203" s="120">
        <v>125</v>
      </c>
      <c r="K1203" s="120">
        <v>4</v>
      </c>
      <c r="L1203" s="120">
        <v>100</v>
      </c>
      <c r="M1203" s="120">
        <v>-9999</v>
      </c>
      <c r="N1203" s="120">
        <v>-9999</v>
      </c>
      <c r="O1203" s="120">
        <v>2</v>
      </c>
      <c r="P1203" s="120">
        <v>-9999</v>
      </c>
      <c r="Q1203" s="120">
        <v>157.5</v>
      </c>
      <c r="R1203" s="120">
        <v>126.300003051758</v>
      </c>
      <c r="S1203" s="148">
        <v>16</v>
      </c>
      <c r="T1203" s="120">
        <v>-9999</v>
      </c>
      <c r="U1203" s="120">
        <v>15</v>
      </c>
      <c r="V1203" s="120">
        <v>-9999</v>
      </c>
      <c r="W1203" s="120">
        <v>-9999</v>
      </c>
      <c r="X1203" s="120">
        <v>-9999</v>
      </c>
      <c r="Y1203" s="120">
        <v>-9999</v>
      </c>
      <c r="Z1203" s="120">
        <v>-9999</v>
      </c>
      <c r="AA1203" s="120">
        <v>68</v>
      </c>
      <c r="AB1203" s="120">
        <v>14.5</v>
      </c>
      <c r="AC1203" s="120">
        <v>1202</v>
      </c>
      <c r="AD1203" s="120">
        <v>2474</v>
      </c>
      <c r="AE1203" s="120">
        <v>-9999</v>
      </c>
      <c r="AF1203" s="120">
        <v>-9999</v>
      </c>
      <c r="AG1203" s="120">
        <v>-9999</v>
      </c>
    </row>
    <row r="1204" spans="1:33" x14ac:dyDescent="0.25">
      <c r="A1204" s="120">
        <v>1203</v>
      </c>
      <c r="B1204" s="120" t="b">
        <v>0</v>
      </c>
      <c r="C1204" s="120">
        <v>0</v>
      </c>
      <c r="D1204" s="61">
        <v>5</v>
      </c>
      <c r="E1204" s="120">
        <v>1</v>
      </c>
      <c r="F1204" s="120" t="s">
        <v>178</v>
      </c>
      <c r="G1204" s="55">
        <v>150</v>
      </c>
      <c r="H1204" s="120">
        <v>791</v>
      </c>
      <c r="I1204" s="57">
        <v>115</v>
      </c>
      <c r="J1204" s="120">
        <v>125</v>
      </c>
      <c r="K1204" s="120">
        <v>5</v>
      </c>
      <c r="L1204" s="120">
        <v>100</v>
      </c>
      <c r="M1204" s="120">
        <v>-9999</v>
      </c>
      <c r="N1204" s="120">
        <v>-9999</v>
      </c>
      <c r="O1204" s="120">
        <v>3</v>
      </c>
      <c r="P1204" s="120">
        <v>-9999</v>
      </c>
      <c r="Q1204" s="120">
        <v>157.5</v>
      </c>
      <c r="R1204" s="120">
        <v>126.300003051758</v>
      </c>
      <c r="S1204" s="148">
        <v>16</v>
      </c>
      <c r="T1204" s="120">
        <v>-9999</v>
      </c>
      <c r="U1204" s="120">
        <v>15</v>
      </c>
      <c r="V1204" s="120">
        <v>-9999</v>
      </c>
      <c r="W1204" s="120">
        <v>-9999</v>
      </c>
      <c r="X1204" s="120">
        <v>-9999</v>
      </c>
      <c r="Y1204" s="120">
        <v>-9999</v>
      </c>
      <c r="Z1204" s="120">
        <v>-9999</v>
      </c>
      <c r="AA1204" s="120">
        <v>68</v>
      </c>
      <c r="AB1204" s="120">
        <v>14.5</v>
      </c>
      <c r="AC1204" s="120">
        <v>1203</v>
      </c>
      <c r="AD1204" s="120">
        <v>2475</v>
      </c>
      <c r="AE1204" s="120">
        <v>-9999</v>
      </c>
      <c r="AF1204" s="120">
        <v>-9999</v>
      </c>
      <c r="AG1204" s="120">
        <v>-9999</v>
      </c>
    </row>
    <row r="1205" spans="1:33" x14ac:dyDescent="0.25">
      <c r="A1205" s="120">
        <v>1204</v>
      </c>
      <c r="B1205" s="120" t="b">
        <v>0</v>
      </c>
      <c r="C1205" s="120">
        <v>0</v>
      </c>
      <c r="D1205" s="61">
        <v>5</v>
      </c>
      <c r="E1205" s="120">
        <v>1</v>
      </c>
      <c r="F1205" s="120" t="s">
        <v>178</v>
      </c>
      <c r="G1205" s="55">
        <v>150</v>
      </c>
      <c r="H1205" s="120">
        <v>761</v>
      </c>
      <c r="I1205" s="57">
        <v>125</v>
      </c>
      <c r="J1205" s="120">
        <v>135</v>
      </c>
      <c r="K1205" s="120">
        <v>4</v>
      </c>
      <c r="L1205" s="120">
        <v>100</v>
      </c>
      <c r="M1205" s="120">
        <v>-9999</v>
      </c>
      <c r="N1205" s="120">
        <v>-9999</v>
      </c>
      <c r="O1205" s="120">
        <v>2</v>
      </c>
      <c r="P1205" s="120">
        <v>-9999</v>
      </c>
      <c r="Q1205" s="120">
        <v>157.5</v>
      </c>
      <c r="R1205" s="120">
        <v>126.300003051758</v>
      </c>
      <c r="S1205" s="148">
        <v>16.600000381469702</v>
      </c>
      <c r="T1205" s="120">
        <v>-9999</v>
      </c>
      <c r="U1205" s="120">
        <v>15</v>
      </c>
      <c r="V1205" s="120">
        <v>-9999</v>
      </c>
      <c r="W1205" s="120">
        <v>-9999</v>
      </c>
      <c r="X1205" s="120">
        <v>-9999</v>
      </c>
      <c r="Y1205" s="120">
        <v>-9999</v>
      </c>
      <c r="Z1205" s="120">
        <v>-9999</v>
      </c>
      <c r="AA1205" s="120">
        <v>68</v>
      </c>
      <c r="AB1205" s="120">
        <v>14.5</v>
      </c>
      <c r="AC1205" s="120">
        <v>1204</v>
      </c>
      <c r="AD1205" s="120">
        <v>2476</v>
      </c>
      <c r="AE1205" s="120">
        <v>-9999</v>
      </c>
      <c r="AF1205" s="120">
        <v>-9999</v>
      </c>
      <c r="AG1205" s="120">
        <v>-9999</v>
      </c>
    </row>
    <row r="1206" spans="1:33" x14ac:dyDescent="0.25">
      <c r="A1206" s="120">
        <v>1205</v>
      </c>
      <c r="B1206" s="120" t="b">
        <v>0</v>
      </c>
      <c r="C1206" s="120">
        <v>0</v>
      </c>
      <c r="D1206" s="61">
        <v>5</v>
      </c>
      <c r="E1206" s="120">
        <v>1</v>
      </c>
      <c r="F1206" s="120" t="s">
        <v>178</v>
      </c>
      <c r="G1206" s="55">
        <v>150</v>
      </c>
      <c r="H1206" s="120">
        <v>761</v>
      </c>
      <c r="I1206" s="57">
        <v>125</v>
      </c>
      <c r="J1206" s="120">
        <v>135</v>
      </c>
      <c r="K1206" s="120">
        <v>5</v>
      </c>
      <c r="L1206" s="120">
        <v>100</v>
      </c>
      <c r="M1206" s="120">
        <v>-9999</v>
      </c>
      <c r="N1206" s="120">
        <v>-9999</v>
      </c>
      <c r="O1206" s="120">
        <v>3</v>
      </c>
      <c r="P1206" s="120">
        <v>-9999</v>
      </c>
      <c r="Q1206" s="120">
        <v>157.5</v>
      </c>
      <c r="R1206" s="120">
        <v>126.300003051758</v>
      </c>
      <c r="S1206" s="148">
        <v>16.600000381469702</v>
      </c>
      <c r="T1206" s="120">
        <v>-9999</v>
      </c>
      <c r="U1206" s="120">
        <v>15</v>
      </c>
      <c r="V1206" s="120">
        <v>-9999</v>
      </c>
      <c r="W1206" s="120">
        <v>-9999</v>
      </c>
      <c r="X1206" s="120">
        <v>-9999</v>
      </c>
      <c r="Y1206" s="120">
        <v>-9999</v>
      </c>
      <c r="Z1206" s="120">
        <v>-9999</v>
      </c>
      <c r="AA1206" s="120">
        <v>68</v>
      </c>
      <c r="AB1206" s="120">
        <v>14.5</v>
      </c>
      <c r="AC1206" s="120">
        <v>1205</v>
      </c>
      <c r="AD1206" s="120">
        <v>2477</v>
      </c>
      <c r="AE1206" s="120">
        <v>-9999</v>
      </c>
      <c r="AF1206" s="120">
        <v>-9999</v>
      </c>
      <c r="AG1206" s="120">
        <v>-9999</v>
      </c>
    </row>
    <row r="1207" spans="1:33" x14ac:dyDescent="0.25">
      <c r="A1207" s="120">
        <v>1206</v>
      </c>
      <c r="B1207" s="120" t="b">
        <v>0</v>
      </c>
      <c r="C1207" s="120">
        <v>0</v>
      </c>
      <c r="D1207" s="61">
        <v>5</v>
      </c>
      <c r="E1207" s="120">
        <v>1</v>
      </c>
      <c r="F1207" s="120" t="s">
        <v>178</v>
      </c>
      <c r="G1207" s="55">
        <v>150</v>
      </c>
      <c r="H1207" s="120">
        <v>739</v>
      </c>
      <c r="I1207" s="57">
        <v>130</v>
      </c>
      <c r="J1207" s="120">
        <v>140</v>
      </c>
      <c r="K1207" s="120">
        <v>4</v>
      </c>
      <c r="L1207" s="120">
        <v>100</v>
      </c>
      <c r="M1207" s="120">
        <v>-9999</v>
      </c>
      <c r="N1207" s="120">
        <v>-9999</v>
      </c>
      <c r="O1207" s="120">
        <v>2</v>
      </c>
      <c r="P1207" s="120">
        <v>-9999</v>
      </c>
      <c r="Q1207" s="120">
        <v>157.5</v>
      </c>
      <c r="R1207" s="120">
        <v>126.300003051758</v>
      </c>
      <c r="S1207" s="148">
        <v>17.100000381469702</v>
      </c>
      <c r="T1207" s="120">
        <v>-9999</v>
      </c>
      <c r="U1207" s="120">
        <v>15</v>
      </c>
      <c r="V1207" s="120">
        <v>-9999</v>
      </c>
      <c r="W1207" s="120">
        <v>-9999</v>
      </c>
      <c r="X1207" s="120">
        <v>-9999</v>
      </c>
      <c r="Y1207" s="120">
        <v>-9999</v>
      </c>
      <c r="Z1207" s="120">
        <v>-9999</v>
      </c>
      <c r="AA1207" s="120">
        <v>68</v>
      </c>
      <c r="AB1207" s="120">
        <v>14.5</v>
      </c>
      <c r="AC1207" s="120">
        <v>1206</v>
      </c>
      <c r="AD1207" s="120">
        <v>2478</v>
      </c>
      <c r="AE1207" s="120">
        <v>-9999</v>
      </c>
      <c r="AF1207" s="120">
        <v>-9999</v>
      </c>
      <c r="AG1207" s="120">
        <v>-9999</v>
      </c>
    </row>
    <row r="1208" spans="1:33" x14ac:dyDescent="0.25">
      <c r="A1208" s="120">
        <v>1207</v>
      </c>
      <c r="B1208" s="120" t="b">
        <v>0</v>
      </c>
      <c r="C1208" s="120">
        <v>0</v>
      </c>
      <c r="D1208" s="61">
        <v>5</v>
      </c>
      <c r="E1208" s="120">
        <v>1</v>
      </c>
      <c r="F1208" s="120" t="s">
        <v>178</v>
      </c>
      <c r="G1208" s="55">
        <v>150</v>
      </c>
      <c r="H1208" s="120">
        <v>739</v>
      </c>
      <c r="I1208" s="57">
        <v>130</v>
      </c>
      <c r="J1208" s="120">
        <v>140</v>
      </c>
      <c r="K1208" s="120">
        <v>5</v>
      </c>
      <c r="L1208" s="120">
        <v>100</v>
      </c>
      <c r="M1208" s="120">
        <v>-9999</v>
      </c>
      <c r="N1208" s="120">
        <v>-9999</v>
      </c>
      <c r="O1208" s="120">
        <v>3</v>
      </c>
      <c r="P1208" s="120">
        <v>-9999</v>
      </c>
      <c r="Q1208" s="120">
        <v>157.5</v>
      </c>
      <c r="R1208" s="120">
        <v>126.300003051758</v>
      </c>
      <c r="S1208" s="148">
        <v>17.100000381469702</v>
      </c>
      <c r="T1208" s="120">
        <v>-9999</v>
      </c>
      <c r="U1208" s="120">
        <v>15</v>
      </c>
      <c r="V1208" s="120">
        <v>-9999</v>
      </c>
      <c r="W1208" s="120">
        <v>-9999</v>
      </c>
      <c r="X1208" s="120">
        <v>-9999</v>
      </c>
      <c r="Y1208" s="120">
        <v>-9999</v>
      </c>
      <c r="Z1208" s="120">
        <v>-9999</v>
      </c>
      <c r="AA1208" s="120">
        <v>68</v>
      </c>
      <c r="AB1208" s="120">
        <v>14.5</v>
      </c>
      <c r="AC1208" s="120">
        <v>1207</v>
      </c>
      <c r="AD1208" s="120">
        <v>2479</v>
      </c>
      <c r="AE1208" s="120">
        <v>-9999</v>
      </c>
      <c r="AF1208" s="120">
        <v>-9999</v>
      </c>
      <c r="AG1208" s="120">
        <v>-9999</v>
      </c>
    </row>
    <row r="1209" spans="1:33" x14ac:dyDescent="0.25">
      <c r="A1209" s="120">
        <v>1208</v>
      </c>
      <c r="B1209" s="120" t="b">
        <v>0</v>
      </c>
      <c r="C1209" s="120">
        <v>0</v>
      </c>
      <c r="D1209" s="61">
        <v>5</v>
      </c>
      <c r="E1209" s="120">
        <v>1</v>
      </c>
      <c r="F1209" s="120" t="s">
        <v>178</v>
      </c>
      <c r="G1209" s="55">
        <v>150</v>
      </c>
      <c r="H1209" s="120">
        <v>716</v>
      </c>
      <c r="I1209" s="57">
        <v>140</v>
      </c>
      <c r="J1209" s="120">
        <v>150</v>
      </c>
      <c r="K1209" s="120">
        <v>4</v>
      </c>
      <c r="L1209" s="120">
        <v>100</v>
      </c>
      <c r="M1209" s="120">
        <v>-9999</v>
      </c>
      <c r="N1209" s="120">
        <v>-9999</v>
      </c>
      <c r="O1209" s="120">
        <v>2</v>
      </c>
      <c r="P1209" s="120">
        <v>-9999</v>
      </c>
      <c r="Q1209" s="120">
        <v>157.5</v>
      </c>
      <c r="R1209" s="120">
        <v>126.300003051758</v>
      </c>
      <c r="S1209" s="148">
        <v>17.600000381469702</v>
      </c>
      <c r="T1209" s="120">
        <v>-9999</v>
      </c>
      <c r="U1209" s="120">
        <v>15</v>
      </c>
      <c r="V1209" s="120">
        <v>-9999</v>
      </c>
      <c r="W1209" s="120">
        <v>-9999</v>
      </c>
      <c r="X1209" s="120">
        <v>-9999</v>
      </c>
      <c r="Y1209" s="120">
        <v>-9999</v>
      </c>
      <c r="Z1209" s="120">
        <v>-9999</v>
      </c>
      <c r="AA1209" s="120">
        <v>68</v>
      </c>
      <c r="AB1209" s="120">
        <v>14.5</v>
      </c>
      <c r="AC1209" s="120">
        <v>1208</v>
      </c>
      <c r="AD1209" s="120">
        <v>2480</v>
      </c>
      <c r="AE1209" s="120">
        <v>-9999</v>
      </c>
      <c r="AF1209" s="120">
        <v>-9999</v>
      </c>
      <c r="AG1209" s="120">
        <v>-9999</v>
      </c>
    </row>
    <row r="1210" spans="1:33" x14ac:dyDescent="0.25">
      <c r="A1210" s="120">
        <v>1209</v>
      </c>
      <c r="B1210" s="120" t="b">
        <v>0</v>
      </c>
      <c r="C1210" s="120">
        <v>0</v>
      </c>
      <c r="D1210" s="61">
        <v>5</v>
      </c>
      <c r="E1210" s="120">
        <v>1</v>
      </c>
      <c r="F1210" s="120" t="s">
        <v>178</v>
      </c>
      <c r="G1210" s="55">
        <v>150</v>
      </c>
      <c r="H1210" s="120">
        <v>716</v>
      </c>
      <c r="I1210" s="57">
        <v>140</v>
      </c>
      <c r="J1210" s="120">
        <v>150</v>
      </c>
      <c r="K1210" s="120">
        <v>5</v>
      </c>
      <c r="L1210" s="120">
        <v>100</v>
      </c>
      <c r="M1210" s="120">
        <v>-9999</v>
      </c>
      <c r="N1210" s="120">
        <v>-9999</v>
      </c>
      <c r="O1210" s="120">
        <v>3</v>
      </c>
      <c r="P1210" s="120">
        <v>-9999</v>
      </c>
      <c r="Q1210" s="120">
        <v>157.5</v>
      </c>
      <c r="R1210" s="120">
        <v>126.300003051758</v>
      </c>
      <c r="S1210" s="148">
        <v>17.600000381469702</v>
      </c>
      <c r="T1210" s="120">
        <v>-9999</v>
      </c>
      <c r="U1210" s="120">
        <v>15</v>
      </c>
      <c r="V1210" s="120">
        <v>-9999</v>
      </c>
      <c r="W1210" s="120">
        <v>-9999</v>
      </c>
      <c r="X1210" s="120">
        <v>-9999</v>
      </c>
      <c r="Y1210" s="120">
        <v>-9999</v>
      </c>
      <c r="Z1210" s="120">
        <v>-9999</v>
      </c>
      <c r="AA1210" s="120">
        <v>68</v>
      </c>
      <c r="AB1210" s="120">
        <v>14.5</v>
      </c>
      <c r="AC1210" s="120">
        <v>1209</v>
      </c>
      <c r="AD1210" s="120">
        <v>2481</v>
      </c>
      <c r="AE1210" s="120">
        <v>-9999</v>
      </c>
      <c r="AF1210" s="120">
        <v>-9999</v>
      </c>
      <c r="AG1210" s="120">
        <v>-9999</v>
      </c>
    </row>
    <row r="1211" spans="1:33" x14ac:dyDescent="0.25">
      <c r="A1211" s="120">
        <v>1210</v>
      </c>
      <c r="B1211" s="120" t="b">
        <v>0</v>
      </c>
      <c r="C1211" s="120">
        <v>0</v>
      </c>
      <c r="D1211" s="61">
        <v>5</v>
      </c>
      <c r="E1211" s="120">
        <v>1</v>
      </c>
      <c r="F1211" s="120" t="s">
        <v>178</v>
      </c>
      <c r="G1211" s="55">
        <v>150</v>
      </c>
      <c r="H1211" s="120">
        <v>694</v>
      </c>
      <c r="I1211" s="57">
        <v>150</v>
      </c>
      <c r="J1211" s="120">
        <v>160</v>
      </c>
      <c r="K1211" s="120">
        <v>4</v>
      </c>
      <c r="L1211" s="120">
        <v>100</v>
      </c>
      <c r="M1211" s="120">
        <v>-9999</v>
      </c>
      <c r="N1211" s="120">
        <v>-9999</v>
      </c>
      <c r="O1211" s="120">
        <v>2</v>
      </c>
      <c r="P1211" s="120">
        <v>-9999</v>
      </c>
      <c r="Q1211" s="120">
        <v>157.5</v>
      </c>
      <c r="R1211" s="120">
        <v>126.300003051758</v>
      </c>
      <c r="S1211" s="148">
        <v>18.200000762939499</v>
      </c>
      <c r="T1211" s="120">
        <v>-9999</v>
      </c>
      <c r="U1211" s="120">
        <v>15</v>
      </c>
      <c r="V1211" s="120">
        <v>-9999</v>
      </c>
      <c r="W1211" s="120">
        <v>-9999</v>
      </c>
      <c r="X1211" s="120">
        <v>-9999</v>
      </c>
      <c r="Y1211" s="120">
        <v>-9999</v>
      </c>
      <c r="Z1211" s="120">
        <v>-9999</v>
      </c>
      <c r="AA1211" s="120">
        <v>68</v>
      </c>
      <c r="AB1211" s="120">
        <v>14.5</v>
      </c>
      <c r="AC1211" s="120">
        <v>1210</v>
      </c>
      <c r="AD1211" s="120">
        <v>2482</v>
      </c>
      <c r="AE1211" s="120">
        <v>-9999</v>
      </c>
      <c r="AF1211" s="120">
        <v>-9999</v>
      </c>
      <c r="AG1211" s="120">
        <v>-9999</v>
      </c>
    </row>
    <row r="1212" spans="1:33" x14ac:dyDescent="0.25">
      <c r="A1212" s="120">
        <v>1211</v>
      </c>
      <c r="B1212" s="120" t="b">
        <v>0</v>
      </c>
      <c r="C1212" s="120">
        <v>0</v>
      </c>
      <c r="D1212" s="61">
        <v>5</v>
      </c>
      <c r="E1212" s="120">
        <v>1</v>
      </c>
      <c r="F1212" s="120" t="s">
        <v>178</v>
      </c>
      <c r="G1212" s="55">
        <v>150</v>
      </c>
      <c r="H1212" s="120">
        <v>694</v>
      </c>
      <c r="I1212" s="57">
        <v>150</v>
      </c>
      <c r="J1212" s="120">
        <v>160</v>
      </c>
      <c r="K1212" s="120">
        <v>5</v>
      </c>
      <c r="L1212" s="120">
        <v>100</v>
      </c>
      <c r="M1212" s="120">
        <v>-9999</v>
      </c>
      <c r="N1212" s="120">
        <v>-9999</v>
      </c>
      <c r="O1212" s="120">
        <v>3</v>
      </c>
      <c r="P1212" s="120">
        <v>-9999</v>
      </c>
      <c r="Q1212" s="120">
        <v>157.5</v>
      </c>
      <c r="R1212" s="120">
        <v>126.300003051758</v>
      </c>
      <c r="S1212" s="148">
        <v>18.200000762939499</v>
      </c>
      <c r="T1212" s="120">
        <v>-9999</v>
      </c>
      <c r="U1212" s="120">
        <v>15</v>
      </c>
      <c r="V1212" s="120">
        <v>-9999</v>
      </c>
      <c r="W1212" s="120">
        <v>-9999</v>
      </c>
      <c r="X1212" s="120">
        <v>-9999</v>
      </c>
      <c r="Y1212" s="120">
        <v>-9999</v>
      </c>
      <c r="Z1212" s="120">
        <v>-9999</v>
      </c>
      <c r="AA1212" s="120">
        <v>68</v>
      </c>
      <c r="AB1212" s="120">
        <v>14.5</v>
      </c>
      <c r="AC1212" s="120">
        <v>1211</v>
      </c>
      <c r="AD1212" s="120">
        <v>2483</v>
      </c>
      <c r="AE1212" s="120">
        <v>-9999</v>
      </c>
      <c r="AF1212" s="120">
        <v>-9999</v>
      </c>
      <c r="AG1212" s="120">
        <v>-9999</v>
      </c>
    </row>
    <row r="1213" spans="1:33" x14ac:dyDescent="0.25">
      <c r="A1213" s="120">
        <v>1212</v>
      </c>
      <c r="B1213" s="120" t="b">
        <v>0</v>
      </c>
      <c r="C1213" s="120">
        <v>0</v>
      </c>
      <c r="D1213" s="61">
        <v>5</v>
      </c>
      <c r="E1213" s="120">
        <v>1</v>
      </c>
      <c r="F1213" s="120" t="s">
        <v>179</v>
      </c>
      <c r="G1213" s="55">
        <v>200</v>
      </c>
      <c r="H1213" s="120">
        <v>1180</v>
      </c>
      <c r="I1213" s="57">
        <v>80</v>
      </c>
      <c r="J1213" s="120">
        <v>90</v>
      </c>
      <c r="K1213" s="120">
        <v>4</v>
      </c>
      <c r="L1213" s="120">
        <v>100</v>
      </c>
      <c r="M1213" s="120">
        <v>-9999</v>
      </c>
      <c r="N1213" s="120">
        <v>-9999</v>
      </c>
      <c r="O1213" s="120">
        <v>2</v>
      </c>
      <c r="P1213" s="120">
        <v>-9999</v>
      </c>
      <c r="Q1213" s="120">
        <v>210</v>
      </c>
      <c r="R1213" s="120">
        <v>166.5</v>
      </c>
      <c r="S1213" s="148">
        <v>14.1000003814697</v>
      </c>
      <c r="T1213" s="120">
        <v>-9999</v>
      </c>
      <c r="U1213" s="120">
        <v>15</v>
      </c>
      <c r="V1213" s="120">
        <v>-9999</v>
      </c>
      <c r="W1213" s="120">
        <v>-9999</v>
      </c>
      <c r="X1213" s="120">
        <v>-9999</v>
      </c>
      <c r="Y1213" s="120">
        <v>-9999</v>
      </c>
      <c r="Z1213" s="120">
        <v>-9999</v>
      </c>
      <c r="AA1213" s="120">
        <v>68</v>
      </c>
      <c r="AB1213" s="120">
        <v>14.5</v>
      </c>
      <c r="AC1213" s="120">
        <v>1212</v>
      </c>
      <c r="AD1213" s="120">
        <v>2484</v>
      </c>
      <c r="AE1213" s="120">
        <v>-9999</v>
      </c>
      <c r="AF1213" s="120">
        <v>-9999</v>
      </c>
      <c r="AG1213" s="120">
        <v>-9999</v>
      </c>
    </row>
    <row r="1214" spans="1:33" x14ac:dyDescent="0.25">
      <c r="A1214" s="120">
        <v>1213</v>
      </c>
      <c r="B1214" s="120" t="b">
        <v>0</v>
      </c>
      <c r="C1214" s="120">
        <v>0</v>
      </c>
      <c r="D1214" s="61">
        <v>5</v>
      </c>
      <c r="E1214" s="120">
        <v>1</v>
      </c>
      <c r="F1214" s="120" t="s">
        <v>179</v>
      </c>
      <c r="G1214" s="55">
        <v>200</v>
      </c>
      <c r="H1214" s="120">
        <v>1180</v>
      </c>
      <c r="I1214" s="57">
        <v>80</v>
      </c>
      <c r="J1214" s="120">
        <v>90</v>
      </c>
      <c r="K1214" s="120">
        <v>5</v>
      </c>
      <c r="L1214" s="120">
        <v>100</v>
      </c>
      <c r="M1214" s="120">
        <v>-9999</v>
      </c>
      <c r="N1214" s="120">
        <v>-9999</v>
      </c>
      <c r="O1214" s="120">
        <v>3</v>
      </c>
      <c r="P1214" s="120">
        <v>-9999</v>
      </c>
      <c r="Q1214" s="120">
        <v>210</v>
      </c>
      <c r="R1214" s="120">
        <v>166.5</v>
      </c>
      <c r="S1214" s="148">
        <v>14.1000003814697</v>
      </c>
      <c r="T1214" s="120">
        <v>-9999</v>
      </c>
      <c r="U1214" s="120">
        <v>15</v>
      </c>
      <c r="V1214" s="120">
        <v>-9999</v>
      </c>
      <c r="W1214" s="120">
        <v>-9999</v>
      </c>
      <c r="X1214" s="120">
        <v>-9999</v>
      </c>
      <c r="Y1214" s="120">
        <v>-9999</v>
      </c>
      <c r="Z1214" s="120">
        <v>-9999</v>
      </c>
      <c r="AA1214" s="120">
        <v>68</v>
      </c>
      <c r="AB1214" s="120">
        <v>14.5</v>
      </c>
      <c r="AC1214" s="120">
        <v>1213</v>
      </c>
      <c r="AD1214" s="120">
        <v>2485</v>
      </c>
      <c r="AE1214" s="120">
        <v>-9999</v>
      </c>
      <c r="AF1214" s="120">
        <v>-9999</v>
      </c>
      <c r="AG1214" s="120">
        <v>-9999</v>
      </c>
    </row>
    <row r="1215" spans="1:33" x14ac:dyDescent="0.25">
      <c r="A1215" s="120">
        <v>1214</v>
      </c>
      <c r="B1215" s="120" t="b">
        <v>0</v>
      </c>
      <c r="C1215" s="120">
        <v>0</v>
      </c>
      <c r="D1215" s="61">
        <v>5</v>
      </c>
      <c r="E1215" s="120">
        <v>1</v>
      </c>
      <c r="F1215" s="120" t="s">
        <v>179</v>
      </c>
      <c r="G1215" s="55">
        <v>200</v>
      </c>
      <c r="H1215" s="120">
        <v>1071</v>
      </c>
      <c r="I1215" s="57">
        <v>100</v>
      </c>
      <c r="J1215" s="120">
        <v>110</v>
      </c>
      <c r="K1215" s="120">
        <v>4</v>
      </c>
      <c r="L1215" s="120">
        <v>100</v>
      </c>
      <c r="M1215" s="120">
        <v>-9999</v>
      </c>
      <c r="N1215" s="120">
        <v>-9999</v>
      </c>
      <c r="O1215" s="120">
        <v>2</v>
      </c>
      <c r="P1215" s="120">
        <v>-9999</v>
      </c>
      <c r="Q1215" s="120">
        <v>210</v>
      </c>
      <c r="R1215" s="120">
        <v>166.5</v>
      </c>
      <c r="S1215" s="148">
        <v>15.5</v>
      </c>
      <c r="T1215" s="120">
        <v>-9999</v>
      </c>
      <c r="U1215" s="120">
        <v>15</v>
      </c>
      <c r="V1215" s="120">
        <v>-9999</v>
      </c>
      <c r="W1215" s="120">
        <v>-9999</v>
      </c>
      <c r="X1215" s="120">
        <v>-9999</v>
      </c>
      <c r="Y1215" s="120">
        <v>-9999</v>
      </c>
      <c r="Z1215" s="120">
        <v>-9999</v>
      </c>
      <c r="AA1215" s="120">
        <v>68</v>
      </c>
      <c r="AB1215" s="120">
        <v>14.5</v>
      </c>
      <c r="AC1215" s="120">
        <v>1214</v>
      </c>
      <c r="AD1215" s="120">
        <v>2486</v>
      </c>
      <c r="AE1215" s="120">
        <v>-9999</v>
      </c>
      <c r="AF1215" s="120">
        <v>-9999</v>
      </c>
      <c r="AG1215" s="120">
        <v>-9999</v>
      </c>
    </row>
    <row r="1216" spans="1:33" x14ac:dyDescent="0.25">
      <c r="A1216" s="120">
        <v>1215</v>
      </c>
      <c r="B1216" s="120" t="b">
        <v>0</v>
      </c>
      <c r="C1216" s="120">
        <v>0</v>
      </c>
      <c r="D1216" s="61">
        <v>5</v>
      </c>
      <c r="E1216" s="120">
        <v>1</v>
      </c>
      <c r="F1216" s="120" t="s">
        <v>179</v>
      </c>
      <c r="G1216" s="55">
        <v>200</v>
      </c>
      <c r="H1216" s="120">
        <v>1071</v>
      </c>
      <c r="I1216" s="57">
        <v>100</v>
      </c>
      <c r="J1216" s="120">
        <v>110</v>
      </c>
      <c r="K1216" s="120">
        <v>5</v>
      </c>
      <c r="L1216" s="120">
        <v>100</v>
      </c>
      <c r="M1216" s="120">
        <v>-9999</v>
      </c>
      <c r="N1216" s="120">
        <v>-9999</v>
      </c>
      <c r="O1216" s="120">
        <v>3</v>
      </c>
      <c r="P1216" s="120">
        <v>-9999</v>
      </c>
      <c r="Q1216" s="120">
        <v>210</v>
      </c>
      <c r="R1216" s="120">
        <v>166.5</v>
      </c>
      <c r="S1216" s="148">
        <v>15.5</v>
      </c>
      <c r="T1216" s="120">
        <v>-9999</v>
      </c>
      <c r="U1216" s="120">
        <v>15</v>
      </c>
      <c r="V1216" s="120">
        <v>-9999</v>
      </c>
      <c r="W1216" s="120">
        <v>-9999</v>
      </c>
      <c r="X1216" s="120">
        <v>-9999</v>
      </c>
      <c r="Y1216" s="120">
        <v>-9999</v>
      </c>
      <c r="Z1216" s="120">
        <v>-9999</v>
      </c>
      <c r="AA1216" s="120">
        <v>68</v>
      </c>
      <c r="AB1216" s="120">
        <v>14.5</v>
      </c>
      <c r="AC1216" s="120">
        <v>1215</v>
      </c>
      <c r="AD1216" s="120">
        <v>2487</v>
      </c>
      <c r="AE1216" s="120">
        <v>-9999</v>
      </c>
      <c r="AF1216" s="120">
        <v>-9999</v>
      </c>
      <c r="AG1216" s="120">
        <v>-9999</v>
      </c>
    </row>
    <row r="1217" spans="1:33" x14ac:dyDescent="0.25">
      <c r="A1217" s="120">
        <v>1216</v>
      </c>
      <c r="B1217" s="120" t="b">
        <v>0</v>
      </c>
      <c r="C1217" s="120">
        <v>0</v>
      </c>
      <c r="D1217" s="61">
        <v>5</v>
      </c>
      <c r="E1217" s="120">
        <v>1</v>
      </c>
      <c r="F1217" s="120" t="s">
        <v>179</v>
      </c>
      <c r="G1217" s="55">
        <v>200</v>
      </c>
      <c r="H1217" s="120">
        <v>1029</v>
      </c>
      <c r="I1217" s="57">
        <v>110</v>
      </c>
      <c r="J1217" s="120">
        <v>120</v>
      </c>
      <c r="K1217" s="120">
        <v>4</v>
      </c>
      <c r="L1217" s="120">
        <v>100</v>
      </c>
      <c r="M1217" s="120">
        <v>-9999</v>
      </c>
      <c r="N1217" s="120">
        <v>-9999</v>
      </c>
      <c r="O1217" s="120">
        <v>2</v>
      </c>
      <c r="P1217" s="120">
        <v>-9999</v>
      </c>
      <c r="Q1217" s="120">
        <v>210</v>
      </c>
      <c r="R1217" s="120">
        <v>166.5</v>
      </c>
      <c r="S1217" s="148">
        <v>16.200000762939499</v>
      </c>
      <c r="T1217" s="120">
        <v>-9999</v>
      </c>
      <c r="U1217" s="120">
        <v>15</v>
      </c>
      <c r="V1217" s="120">
        <v>-9999</v>
      </c>
      <c r="W1217" s="120">
        <v>-9999</v>
      </c>
      <c r="X1217" s="120">
        <v>-9999</v>
      </c>
      <c r="Y1217" s="120">
        <v>-9999</v>
      </c>
      <c r="Z1217" s="120">
        <v>-9999</v>
      </c>
      <c r="AA1217" s="120">
        <v>68</v>
      </c>
      <c r="AB1217" s="120">
        <v>14.5</v>
      </c>
      <c r="AC1217" s="120">
        <v>1216</v>
      </c>
      <c r="AD1217" s="120">
        <v>2488</v>
      </c>
      <c r="AE1217" s="120">
        <v>-9999</v>
      </c>
      <c r="AF1217" s="120">
        <v>-9999</v>
      </c>
      <c r="AG1217" s="120">
        <v>-9999</v>
      </c>
    </row>
    <row r="1218" spans="1:33" x14ac:dyDescent="0.25">
      <c r="A1218" s="120">
        <v>1217</v>
      </c>
      <c r="B1218" s="120" t="b">
        <v>0</v>
      </c>
      <c r="C1218" s="120">
        <v>0</v>
      </c>
      <c r="D1218" s="61">
        <v>5</v>
      </c>
      <c r="E1218" s="120">
        <v>1</v>
      </c>
      <c r="F1218" s="120" t="s">
        <v>179</v>
      </c>
      <c r="G1218" s="55">
        <v>200</v>
      </c>
      <c r="H1218" s="120">
        <v>1029</v>
      </c>
      <c r="I1218" s="57">
        <v>110</v>
      </c>
      <c r="J1218" s="120">
        <v>120</v>
      </c>
      <c r="K1218" s="120">
        <v>5</v>
      </c>
      <c r="L1218" s="120">
        <v>100</v>
      </c>
      <c r="M1218" s="120">
        <v>-9999</v>
      </c>
      <c r="N1218" s="120">
        <v>-9999</v>
      </c>
      <c r="O1218" s="120">
        <v>3</v>
      </c>
      <c r="P1218" s="120">
        <v>-9999</v>
      </c>
      <c r="Q1218" s="120">
        <v>210</v>
      </c>
      <c r="R1218" s="120">
        <v>166.5</v>
      </c>
      <c r="S1218" s="148">
        <v>16.200000762939499</v>
      </c>
      <c r="T1218" s="120">
        <v>-9999</v>
      </c>
      <c r="U1218" s="120">
        <v>15</v>
      </c>
      <c r="V1218" s="120">
        <v>-9999</v>
      </c>
      <c r="W1218" s="120">
        <v>-9999</v>
      </c>
      <c r="X1218" s="120">
        <v>-9999</v>
      </c>
      <c r="Y1218" s="120">
        <v>-9999</v>
      </c>
      <c r="Z1218" s="120">
        <v>-9999</v>
      </c>
      <c r="AA1218" s="120">
        <v>68</v>
      </c>
      <c r="AB1218" s="120">
        <v>14.5</v>
      </c>
      <c r="AC1218" s="120">
        <v>1217</v>
      </c>
      <c r="AD1218" s="120">
        <v>2489</v>
      </c>
      <c r="AE1218" s="120">
        <v>-9999</v>
      </c>
      <c r="AF1218" s="120">
        <v>-9999</v>
      </c>
      <c r="AG1218" s="120">
        <v>-9999</v>
      </c>
    </row>
    <row r="1219" spans="1:33" x14ac:dyDescent="0.25">
      <c r="A1219" s="120">
        <v>1218</v>
      </c>
      <c r="B1219" s="120" t="b">
        <v>0</v>
      </c>
      <c r="C1219" s="120">
        <v>0</v>
      </c>
      <c r="D1219" s="61">
        <v>5</v>
      </c>
      <c r="E1219" s="120">
        <v>1</v>
      </c>
      <c r="F1219" s="120" t="s">
        <v>179</v>
      </c>
      <c r="G1219" s="55">
        <v>200</v>
      </c>
      <c r="H1219" s="120">
        <v>1010</v>
      </c>
      <c r="I1219" s="57">
        <v>115</v>
      </c>
      <c r="J1219" s="120">
        <v>125</v>
      </c>
      <c r="K1219" s="120">
        <v>4</v>
      </c>
      <c r="L1219" s="120">
        <v>100</v>
      </c>
      <c r="M1219" s="120">
        <v>-9999</v>
      </c>
      <c r="N1219" s="120">
        <v>-9999</v>
      </c>
      <c r="O1219" s="120">
        <v>2</v>
      </c>
      <c r="P1219" s="120">
        <v>-9999</v>
      </c>
      <c r="Q1219" s="120">
        <v>210</v>
      </c>
      <c r="R1219" s="120">
        <v>166.5</v>
      </c>
      <c r="S1219" s="148">
        <v>16.5</v>
      </c>
      <c r="T1219" s="120">
        <v>-9999</v>
      </c>
      <c r="U1219" s="120">
        <v>15</v>
      </c>
      <c r="V1219" s="120">
        <v>-9999</v>
      </c>
      <c r="W1219" s="120">
        <v>-9999</v>
      </c>
      <c r="X1219" s="120">
        <v>-9999</v>
      </c>
      <c r="Y1219" s="120">
        <v>-9999</v>
      </c>
      <c r="Z1219" s="120">
        <v>-9999</v>
      </c>
      <c r="AA1219" s="120">
        <v>68</v>
      </c>
      <c r="AB1219" s="120">
        <v>14.5</v>
      </c>
      <c r="AC1219" s="120">
        <v>1218</v>
      </c>
      <c r="AD1219" s="120">
        <v>2490</v>
      </c>
      <c r="AE1219" s="120">
        <v>-9999</v>
      </c>
      <c r="AF1219" s="120">
        <v>-9999</v>
      </c>
      <c r="AG1219" s="120">
        <v>-9999</v>
      </c>
    </row>
    <row r="1220" spans="1:33" x14ac:dyDescent="0.25">
      <c r="A1220" s="120">
        <v>1219</v>
      </c>
      <c r="B1220" s="120" t="b">
        <v>0</v>
      </c>
      <c r="C1220" s="120">
        <v>0</v>
      </c>
      <c r="D1220" s="61">
        <v>5</v>
      </c>
      <c r="E1220" s="120">
        <v>1</v>
      </c>
      <c r="F1220" s="120" t="s">
        <v>179</v>
      </c>
      <c r="G1220" s="55">
        <v>200</v>
      </c>
      <c r="H1220" s="120">
        <v>1010</v>
      </c>
      <c r="I1220" s="57">
        <v>115</v>
      </c>
      <c r="J1220" s="120">
        <v>125</v>
      </c>
      <c r="K1220" s="120">
        <v>5</v>
      </c>
      <c r="L1220" s="120">
        <v>100</v>
      </c>
      <c r="M1220" s="120">
        <v>-9999</v>
      </c>
      <c r="N1220" s="120">
        <v>-9999</v>
      </c>
      <c r="O1220" s="120">
        <v>3</v>
      </c>
      <c r="P1220" s="120">
        <v>-9999</v>
      </c>
      <c r="Q1220" s="120">
        <v>210</v>
      </c>
      <c r="R1220" s="120">
        <v>166.5</v>
      </c>
      <c r="S1220" s="148">
        <v>16.5</v>
      </c>
      <c r="T1220" s="120">
        <v>-9999</v>
      </c>
      <c r="U1220" s="120">
        <v>15</v>
      </c>
      <c r="V1220" s="120">
        <v>-9999</v>
      </c>
      <c r="W1220" s="120">
        <v>-9999</v>
      </c>
      <c r="X1220" s="120">
        <v>-9999</v>
      </c>
      <c r="Y1220" s="120">
        <v>-9999</v>
      </c>
      <c r="Z1220" s="120">
        <v>-9999</v>
      </c>
      <c r="AA1220" s="120">
        <v>68</v>
      </c>
      <c r="AB1220" s="120">
        <v>14.5</v>
      </c>
      <c r="AC1220" s="120">
        <v>1219</v>
      </c>
      <c r="AD1220" s="120">
        <v>2491</v>
      </c>
      <c r="AE1220" s="120">
        <v>-9999</v>
      </c>
      <c r="AF1220" s="120">
        <v>-9999</v>
      </c>
      <c r="AG1220" s="120">
        <v>-9999</v>
      </c>
    </row>
    <row r="1221" spans="1:33" x14ac:dyDescent="0.25">
      <c r="A1221" s="120">
        <v>1220</v>
      </c>
      <c r="B1221" s="120" t="b">
        <v>0</v>
      </c>
      <c r="C1221" s="120">
        <v>0</v>
      </c>
      <c r="D1221" s="61">
        <v>5</v>
      </c>
      <c r="E1221" s="120">
        <v>1</v>
      </c>
      <c r="F1221" s="120" t="s">
        <v>179</v>
      </c>
      <c r="G1221" s="55">
        <v>200</v>
      </c>
      <c r="H1221" s="120">
        <v>972</v>
      </c>
      <c r="I1221" s="57">
        <v>125</v>
      </c>
      <c r="J1221" s="120">
        <v>135</v>
      </c>
      <c r="K1221" s="120">
        <v>4</v>
      </c>
      <c r="L1221" s="120">
        <v>100</v>
      </c>
      <c r="M1221" s="120">
        <v>-9999</v>
      </c>
      <c r="N1221" s="120">
        <v>-9999</v>
      </c>
      <c r="O1221" s="120">
        <v>2</v>
      </c>
      <c r="P1221" s="120">
        <v>-9999</v>
      </c>
      <c r="Q1221" s="120">
        <v>210</v>
      </c>
      <c r="R1221" s="120">
        <v>166.5</v>
      </c>
      <c r="S1221" s="148">
        <v>17.100000381469702</v>
      </c>
      <c r="T1221" s="120">
        <v>-9999</v>
      </c>
      <c r="U1221" s="120">
        <v>15</v>
      </c>
      <c r="V1221" s="120">
        <v>-9999</v>
      </c>
      <c r="W1221" s="120">
        <v>-9999</v>
      </c>
      <c r="X1221" s="120">
        <v>-9999</v>
      </c>
      <c r="Y1221" s="120">
        <v>-9999</v>
      </c>
      <c r="Z1221" s="120">
        <v>-9999</v>
      </c>
      <c r="AA1221" s="120">
        <v>68</v>
      </c>
      <c r="AB1221" s="120">
        <v>14.5</v>
      </c>
      <c r="AC1221" s="120">
        <v>1220</v>
      </c>
      <c r="AD1221" s="120">
        <v>2492</v>
      </c>
      <c r="AE1221" s="120">
        <v>-9999</v>
      </c>
      <c r="AF1221" s="120">
        <v>-9999</v>
      </c>
      <c r="AG1221" s="120">
        <v>-9999</v>
      </c>
    </row>
    <row r="1222" spans="1:33" x14ac:dyDescent="0.25">
      <c r="A1222" s="120">
        <v>1221</v>
      </c>
      <c r="B1222" s="120" t="b">
        <v>0</v>
      </c>
      <c r="C1222" s="120">
        <v>0</v>
      </c>
      <c r="D1222" s="61">
        <v>5</v>
      </c>
      <c r="E1222" s="120">
        <v>1</v>
      </c>
      <c r="F1222" s="120" t="s">
        <v>179</v>
      </c>
      <c r="G1222" s="55">
        <v>200</v>
      </c>
      <c r="H1222" s="120">
        <v>972</v>
      </c>
      <c r="I1222" s="57">
        <v>125</v>
      </c>
      <c r="J1222" s="120">
        <v>135</v>
      </c>
      <c r="K1222" s="120">
        <v>5</v>
      </c>
      <c r="L1222" s="120">
        <v>100</v>
      </c>
      <c r="M1222" s="120">
        <v>-9999</v>
      </c>
      <c r="N1222" s="120">
        <v>-9999</v>
      </c>
      <c r="O1222" s="120">
        <v>3</v>
      </c>
      <c r="P1222" s="120">
        <v>-9999</v>
      </c>
      <c r="Q1222" s="120">
        <v>210</v>
      </c>
      <c r="R1222" s="120">
        <v>166.5</v>
      </c>
      <c r="S1222" s="148">
        <v>17.100000381469702</v>
      </c>
      <c r="T1222" s="120">
        <v>-9999</v>
      </c>
      <c r="U1222" s="120">
        <v>15</v>
      </c>
      <c r="V1222" s="120">
        <v>-9999</v>
      </c>
      <c r="W1222" s="120">
        <v>-9999</v>
      </c>
      <c r="X1222" s="120">
        <v>-9999</v>
      </c>
      <c r="Y1222" s="120">
        <v>-9999</v>
      </c>
      <c r="Z1222" s="120">
        <v>-9999</v>
      </c>
      <c r="AA1222" s="120">
        <v>68</v>
      </c>
      <c r="AB1222" s="120">
        <v>14.5</v>
      </c>
      <c r="AC1222" s="120">
        <v>1221</v>
      </c>
      <c r="AD1222" s="120">
        <v>2493</v>
      </c>
      <c r="AE1222" s="120">
        <v>-9999</v>
      </c>
      <c r="AF1222" s="120">
        <v>-9999</v>
      </c>
      <c r="AG1222" s="120">
        <v>-9999</v>
      </c>
    </row>
    <row r="1223" spans="1:33" x14ac:dyDescent="0.25">
      <c r="A1223" s="120">
        <v>1222</v>
      </c>
      <c r="B1223" s="120" t="b">
        <v>0</v>
      </c>
      <c r="C1223" s="120">
        <v>0</v>
      </c>
      <c r="D1223" s="61">
        <v>5</v>
      </c>
      <c r="E1223" s="120">
        <v>1</v>
      </c>
      <c r="F1223" s="120" t="s">
        <v>179</v>
      </c>
      <c r="G1223" s="55">
        <v>200</v>
      </c>
      <c r="H1223" s="120">
        <v>955</v>
      </c>
      <c r="I1223" s="57">
        <v>130</v>
      </c>
      <c r="J1223" s="120">
        <v>140</v>
      </c>
      <c r="K1223" s="120">
        <v>4</v>
      </c>
      <c r="L1223" s="120">
        <v>100</v>
      </c>
      <c r="M1223" s="120">
        <v>-9999</v>
      </c>
      <c r="N1223" s="120">
        <v>-9999</v>
      </c>
      <c r="O1223" s="120">
        <v>2</v>
      </c>
      <c r="P1223" s="120">
        <v>-9999</v>
      </c>
      <c r="Q1223" s="120">
        <v>210</v>
      </c>
      <c r="R1223" s="120">
        <v>166.5</v>
      </c>
      <c r="S1223" s="148">
        <v>17.399999618530298</v>
      </c>
      <c r="T1223" s="120">
        <v>-9999</v>
      </c>
      <c r="U1223" s="120">
        <v>15</v>
      </c>
      <c r="V1223" s="120">
        <v>-9999</v>
      </c>
      <c r="W1223" s="120">
        <v>-9999</v>
      </c>
      <c r="X1223" s="120">
        <v>-9999</v>
      </c>
      <c r="Y1223" s="120">
        <v>-9999</v>
      </c>
      <c r="Z1223" s="120">
        <v>-9999</v>
      </c>
      <c r="AA1223" s="120">
        <v>68</v>
      </c>
      <c r="AB1223" s="120">
        <v>14.5</v>
      </c>
      <c r="AC1223" s="120">
        <v>1222</v>
      </c>
      <c r="AD1223" s="120">
        <v>2494</v>
      </c>
      <c r="AE1223" s="120">
        <v>-9999</v>
      </c>
      <c r="AF1223" s="120">
        <v>-9999</v>
      </c>
      <c r="AG1223" s="120">
        <v>-9999</v>
      </c>
    </row>
    <row r="1224" spans="1:33" x14ac:dyDescent="0.25">
      <c r="A1224" s="120">
        <v>1223</v>
      </c>
      <c r="B1224" s="120" t="b">
        <v>0</v>
      </c>
      <c r="C1224" s="120">
        <v>0</v>
      </c>
      <c r="D1224" s="61">
        <v>5</v>
      </c>
      <c r="E1224" s="120">
        <v>1</v>
      </c>
      <c r="F1224" s="120" t="s">
        <v>179</v>
      </c>
      <c r="G1224" s="55">
        <v>200</v>
      </c>
      <c r="H1224" s="120">
        <v>955</v>
      </c>
      <c r="I1224" s="57">
        <v>130</v>
      </c>
      <c r="J1224" s="120">
        <v>140</v>
      </c>
      <c r="K1224" s="120">
        <v>5</v>
      </c>
      <c r="L1224" s="120">
        <v>100</v>
      </c>
      <c r="M1224" s="120">
        <v>-9999</v>
      </c>
      <c r="N1224" s="120">
        <v>-9999</v>
      </c>
      <c r="O1224" s="120">
        <v>3</v>
      </c>
      <c r="P1224" s="120">
        <v>-9999</v>
      </c>
      <c r="Q1224" s="120">
        <v>210</v>
      </c>
      <c r="R1224" s="120">
        <v>166.5</v>
      </c>
      <c r="S1224" s="148">
        <v>17.399999618530298</v>
      </c>
      <c r="T1224" s="120">
        <v>-9999</v>
      </c>
      <c r="U1224" s="120">
        <v>15</v>
      </c>
      <c r="V1224" s="120">
        <v>-9999</v>
      </c>
      <c r="W1224" s="120">
        <v>-9999</v>
      </c>
      <c r="X1224" s="120">
        <v>-9999</v>
      </c>
      <c r="Y1224" s="120">
        <v>-9999</v>
      </c>
      <c r="Z1224" s="120">
        <v>-9999</v>
      </c>
      <c r="AA1224" s="120">
        <v>68</v>
      </c>
      <c r="AB1224" s="120">
        <v>14.5</v>
      </c>
      <c r="AC1224" s="120">
        <v>1223</v>
      </c>
      <c r="AD1224" s="120">
        <v>2495</v>
      </c>
      <c r="AE1224" s="120">
        <v>-9999</v>
      </c>
      <c r="AF1224" s="120">
        <v>-9999</v>
      </c>
      <c r="AG1224" s="120">
        <v>-9999</v>
      </c>
    </row>
    <row r="1225" spans="1:33" x14ac:dyDescent="0.25">
      <c r="A1225" s="120">
        <v>1224</v>
      </c>
      <c r="B1225" s="120" t="b">
        <v>0</v>
      </c>
      <c r="C1225" s="120">
        <v>0</v>
      </c>
      <c r="D1225" s="61">
        <v>5</v>
      </c>
      <c r="E1225" s="120">
        <v>1</v>
      </c>
      <c r="F1225" s="120" t="s">
        <v>179</v>
      </c>
      <c r="G1225" s="55">
        <v>200</v>
      </c>
      <c r="H1225" s="120">
        <v>925</v>
      </c>
      <c r="I1225" s="57">
        <v>140</v>
      </c>
      <c r="J1225" s="120">
        <v>150</v>
      </c>
      <c r="K1225" s="120">
        <v>4</v>
      </c>
      <c r="L1225" s="120">
        <v>100</v>
      </c>
      <c r="M1225" s="120">
        <v>-9999</v>
      </c>
      <c r="N1225" s="120">
        <v>-9999</v>
      </c>
      <c r="O1225" s="120">
        <v>2</v>
      </c>
      <c r="P1225" s="120">
        <v>-9999</v>
      </c>
      <c r="Q1225" s="120">
        <v>210</v>
      </c>
      <c r="R1225" s="120">
        <v>166.5</v>
      </c>
      <c r="S1225" s="148">
        <v>18</v>
      </c>
      <c r="T1225" s="120">
        <v>-9999</v>
      </c>
      <c r="U1225" s="120">
        <v>15</v>
      </c>
      <c r="V1225" s="120">
        <v>-9999</v>
      </c>
      <c r="W1225" s="120">
        <v>-9999</v>
      </c>
      <c r="X1225" s="120">
        <v>-9999</v>
      </c>
      <c r="Y1225" s="120">
        <v>-9999</v>
      </c>
      <c r="Z1225" s="120">
        <v>-9999</v>
      </c>
      <c r="AA1225" s="120">
        <v>68</v>
      </c>
      <c r="AB1225" s="120">
        <v>14.5</v>
      </c>
      <c r="AC1225" s="120">
        <v>1224</v>
      </c>
      <c r="AD1225" s="120">
        <v>2496</v>
      </c>
      <c r="AE1225" s="120">
        <v>-9999</v>
      </c>
      <c r="AF1225" s="120">
        <v>-9999</v>
      </c>
      <c r="AG1225" s="120">
        <v>-9999</v>
      </c>
    </row>
    <row r="1226" spans="1:33" x14ac:dyDescent="0.25">
      <c r="A1226" s="120">
        <v>1225</v>
      </c>
      <c r="B1226" s="120" t="b">
        <v>0</v>
      </c>
      <c r="C1226" s="120">
        <v>0</v>
      </c>
      <c r="D1226" s="61">
        <v>5</v>
      </c>
      <c r="E1226" s="120">
        <v>1</v>
      </c>
      <c r="F1226" s="120" t="s">
        <v>179</v>
      </c>
      <c r="G1226" s="55">
        <v>200</v>
      </c>
      <c r="H1226" s="120">
        <v>925</v>
      </c>
      <c r="I1226" s="57">
        <v>140</v>
      </c>
      <c r="J1226" s="120">
        <v>150</v>
      </c>
      <c r="K1226" s="120">
        <v>5</v>
      </c>
      <c r="L1226" s="120">
        <v>100</v>
      </c>
      <c r="M1226" s="120">
        <v>-9999</v>
      </c>
      <c r="N1226" s="120">
        <v>-9999</v>
      </c>
      <c r="O1226" s="120">
        <v>3</v>
      </c>
      <c r="P1226" s="120">
        <v>-9999</v>
      </c>
      <c r="Q1226" s="120">
        <v>210</v>
      </c>
      <c r="R1226" s="120">
        <v>166.5</v>
      </c>
      <c r="S1226" s="148">
        <v>18</v>
      </c>
      <c r="T1226" s="120">
        <v>-9999</v>
      </c>
      <c r="U1226" s="120">
        <v>15</v>
      </c>
      <c r="V1226" s="120">
        <v>-9999</v>
      </c>
      <c r="W1226" s="120">
        <v>-9999</v>
      </c>
      <c r="X1226" s="120">
        <v>-9999</v>
      </c>
      <c r="Y1226" s="120">
        <v>-9999</v>
      </c>
      <c r="Z1226" s="120">
        <v>-9999</v>
      </c>
      <c r="AA1226" s="120">
        <v>68</v>
      </c>
      <c r="AB1226" s="120">
        <v>14.5</v>
      </c>
      <c r="AC1226" s="120">
        <v>1225</v>
      </c>
      <c r="AD1226" s="120">
        <v>2497</v>
      </c>
      <c r="AE1226" s="120">
        <v>-9999</v>
      </c>
      <c r="AF1226" s="120">
        <v>-9999</v>
      </c>
      <c r="AG1226" s="120">
        <v>-9999</v>
      </c>
    </row>
    <row r="1227" spans="1:33" x14ac:dyDescent="0.25">
      <c r="A1227" s="120">
        <v>1226</v>
      </c>
      <c r="B1227" s="120" t="b">
        <v>0</v>
      </c>
      <c r="C1227" s="120">
        <v>0</v>
      </c>
      <c r="D1227" s="61">
        <v>5</v>
      </c>
      <c r="E1227" s="120">
        <v>1</v>
      </c>
      <c r="F1227" s="120" t="s">
        <v>179</v>
      </c>
      <c r="G1227" s="55">
        <v>200</v>
      </c>
      <c r="H1227" s="120">
        <v>897</v>
      </c>
      <c r="I1227" s="57">
        <v>150</v>
      </c>
      <c r="J1227" s="120">
        <v>160</v>
      </c>
      <c r="K1227" s="120">
        <v>4</v>
      </c>
      <c r="L1227" s="120">
        <v>100</v>
      </c>
      <c r="M1227" s="120">
        <v>-9999</v>
      </c>
      <c r="N1227" s="120">
        <v>-9999</v>
      </c>
      <c r="O1227" s="120">
        <v>2</v>
      </c>
      <c r="P1227" s="120">
        <v>-9999</v>
      </c>
      <c r="Q1227" s="120">
        <v>210</v>
      </c>
      <c r="R1227" s="120">
        <v>166.5</v>
      </c>
      <c r="S1227" s="148">
        <v>18.600000381469702</v>
      </c>
      <c r="T1227" s="120">
        <v>-9999</v>
      </c>
      <c r="U1227" s="120">
        <v>15</v>
      </c>
      <c r="V1227" s="120">
        <v>-9999</v>
      </c>
      <c r="W1227" s="120">
        <v>-9999</v>
      </c>
      <c r="X1227" s="120">
        <v>-9999</v>
      </c>
      <c r="Y1227" s="120">
        <v>-9999</v>
      </c>
      <c r="Z1227" s="120">
        <v>-9999</v>
      </c>
      <c r="AA1227" s="120">
        <v>68</v>
      </c>
      <c r="AB1227" s="120">
        <v>14.5</v>
      </c>
      <c r="AC1227" s="120">
        <v>1226</v>
      </c>
      <c r="AD1227" s="120">
        <v>2498</v>
      </c>
      <c r="AE1227" s="120">
        <v>-9999</v>
      </c>
      <c r="AF1227" s="120">
        <v>-9999</v>
      </c>
      <c r="AG1227" s="120">
        <v>-9999</v>
      </c>
    </row>
    <row r="1228" spans="1:33" x14ac:dyDescent="0.25">
      <c r="A1228" s="120">
        <v>1227</v>
      </c>
      <c r="B1228" s="120" t="b">
        <v>0</v>
      </c>
      <c r="C1228" s="120">
        <v>0</v>
      </c>
      <c r="D1228" s="61">
        <v>5</v>
      </c>
      <c r="E1228" s="120">
        <v>1</v>
      </c>
      <c r="F1228" s="120" t="s">
        <v>179</v>
      </c>
      <c r="G1228" s="55">
        <v>200</v>
      </c>
      <c r="H1228" s="120">
        <v>897</v>
      </c>
      <c r="I1228" s="57">
        <v>150</v>
      </c>
      <c r="J1228" s="120">
        <v>160</v>
      </c>
      <c r="K1228" s="120">
        <v>5</v>
      </c>
      <c r="L1228" s="120">
        <v>100</v>
      </c>
      <c r="M1228" s="120">
        <v>-9999</v>
      </c>
      <c r="N1228" s="120">
        <v>-9999</v>
      </c>
      <c r="O1228" s="120">
        <v>3</v>
      </c>
      <c r="P1228" s="120">
        <v>-9999</v>
      </c>
      <c r="Q1228" s="120">
        <v>210</v>
      </c>
      <c r="R1228" s="120">
        <v>166.5</v>
      </c>
      <c r="S1228" s="148">
        <v>18.600000381469702</v>
      </c>
      <c r="T1228" s="120">
        <v>-9999</v>
      </c>
      <c r="U1228" s="120">
        <v>15</v>
      </c>
      <c r="V1228" s="120">
        <v>-9999</v>
      </c>
      <c r="W1228" s="120">
        <v>-9999</v>
      </c>
      <c r="X1228" s="120">
        <v>-9999</v>
      </c>
      <c r="Y1228" s="120">
        <v>-9999</v>
      </c>
      <c r="Z1228" s="120">
        <v>-9999</v>
      </c>
      <c r="AA1228" s="120">
        <v>68</v>
      </c>
      <c r="AB1228" s="120">
        <v>14.5</v>
      </c>
      <c r="AC1228" s="120">
        <v>1227</v>
      </c>
      <c r="AD1228" s="120">
        <v>2499</v>
      </c>
      <c r="AE1228" s="120">
        <v>-9999</v>
      </c>
      <c r="AF1228" s="120">
        <v>-9999</v>
      </c>
      <c r="AG1228" s="120">
        <v>-9999</v>
      </c>
    </row>
    <row r="1229" spans="1:33" x14ac:dyDescent="0.25">
      <c r="A1229" s="120">
        <v>1228</v>
      </c>
      <c r="B1229" s="120" t="b">
        <v>0</v>
      </c>
      <c r="C1229" s="120">
        <v>0</v>
      </c>
      <c r="D1229" s="61">
        <v>5</v>
      </c>
      <c r="E1229" s="120">
        <v>1</v>
      </c>
      <c r="F1229" s="120" t="s">
        <v>180</v>
      </c>
      <c r="G1229" s="55">
        <v>250</v>
      </c>
      <c r="H1229" s="120">
        <v>1584</v>
      </c>
      <c r="I1229" s="57">
        <v>80</v>
      </c>
      <c r="J1229" s="120">
        <v>90</v>
      </c>
      <c r="K1229" s="120">
        <v>4</v>
      </c>
      <c r="L1229" s="120">
        <v>100</v>
      </c>
      <c r="M1229" s="120">
        <v>-9999</v>
      </c>
      <c r="N1229" s="120">
        <v>-9999</v>
      </c>
      <c r="O1229" s="120">
        <v>2</v>
      </c>
      <c r="P1229" s="120">
        <v>-9999</v>
      </c>
      <c r="Q1229" s="120">
        <v>262.5</v>
      </c>
      <c r="R1229" s="120">
        <v>209.19999694824199</v>
      </c>
      <c r="S1229" s="148">
        <v>13.199999809265099</v>
      </c>
      <c r="T1229" s="120">
        <v>-9999</v>
      </c>
      <c r="U1229" s="120">
        <v>15</v>
      </c>
      <c r="V1229" s="120">
        <v>-9999</v>
      </c>
      <c r="W1229" s="120">
        <v>-9999</v>
      </c>
      <c r="X1229" s="120">
        <v>-9999</v>
      </c>
      <c r="Y1229" s="120">
        <v>-9999</v>
      </c>
      <c r="Z1229" s="120">
        <v>-9999</v>
      </c>
      <c r="AA1229" s="120">
        <v>68</v>
      </c>
      <c r="AB1229" s="120">
        <v>14.5</v>
      </c>
      <c r="AC1229" s="120">
        <v>1228</v>
      </c>
      <c r="AD1229" s="120">
        <v>2500</v>
      </c>
      <c r="AE1229" s="120">
        <v>-9999</v>
      </c>
      <c r="AF1229" s="120">
        <v>-9999</v>
      </c>
      <c r="AG1229" s="120">
        <v>-9999</v>
      </c>
    </row>
    <row r="1230" spans="1:33" x14ac:dyDescent="0.25">
      <c r="A1230" s="120">
        <v>1229</v>
      </c>
      <c r="B1230" s="120" t="b">
        <v>0</v>
      </c>
      <c r="C1230" s="120">
        <v>0</v>
      </c>
      <c r="D1230" s="61">
        <v>5</v>
      </c>
      <c r="E1230" s="120">
        <v>1</v>
      </c>
      <c r="F1230" s="120" t="s">
        <v>180</v>
      </c>
      <c r="G1230" s="55">
        <v>250</v>
      </c>
      <c r="H1230" s="120">
        <v>1584</v>
      </c>
      <c r="I1230" s="57">
        <v>80</v>
      </c>
      <c r="J1230" s="120">
        <v>90</v>
      </c>
      <c r="K1230" s="120">
        <v>5</v>
      </c>
      <c r="L1230" s="120">
        <v>100</v>
      </c>
      <c r="M1230" s="120">
        <v>-9999</v>
      </c>
      <c r="N1230" s="120">
        <v>-9999</v>
      </c>
      <c r="O1230" s="120">
        <v>5</v>
      </c>
      <c r="P1230" s="120">
        <v>-9999</v>
      </c>
      <c r="Q1230" s="120">
        <v>262.5</v>
      </c>
      <c r="R1230" s="120">
        <v>209.19999694824199</v>
      </c>
      <c r="S1230" s="148">
        <v>13.199999809265099</v>
      </c>
      <c r="T1230" s="120">
        <v>-9999</v>
      </c>
      <c r="U1230" s="120">
        <v>15</v>
      </c>
      <c r="V1230" s="120">
        <v>-9999</v>
      </c>
      <c r="W1230" s="120">
        <v>-9999</v>
      </c>
      <c r="X1230" s="120">
        <v>-9999</v>
      </c>
      <c r="Y1230" s="120">
        <v>-9999</v>
      </c>
      <c r="Z1230" s="120">
        <v>-9999</v>
      </c>
      <c r="AA1230" s="120">
        <v>68</v>
      </c>
      <c r="AB1230" s="120">
        <v>14.5</v>
      </c>
      <c r="AC1230" s="120">
        <v>1229</v>
      </c>
      <c r="AD1230" s="120">
        <v>2501</v>
      </c>
      <c r="AE1230" s="120">
        <v>-9999</v>
      </c>
      <c r="AF1230" s="120">
        <v>-9999</v>
      </c>
      <c r="AG1230" s="120">
        <v>-9999</v>
      </c>
    </row>
    <row r="1231" spans="1:33" x14ac:dyDescent="0.25">
      <c r="A1231" s="120">
        <v>1230</v>
      </c>
      <c r="B1231" s="120" t="b">
        <v>0</v>
      </c>
      <c r="C1231" s="120">
        <v>0</v>
      </c>
      <c r="D1231" s="61">
        <v>5</v>
      </c>
      <c r="E1231" s="120">
        <v>1</v>
      </c>
      <c r="F1231" s="120" t="s">
        <v>180</v>
      </c>
      <c r="G1231" s="55">
        <v>250</v>
      </c>
      <c r="H1231" s="120">
        <v>1440</v>
      </c>
      <c r="I1231" s="57">
        <v>100</v>
      </c>
      <c r="J1231" s="120">
        <v>110</v>
      </c>
      <c r="K1231" s="120">
        <v>4</v>
      </c>
      <c r="L1231" s="120">
        <v>100</v>
      </c>
      <c r="M1231" s="120">
        <v>-9999</v>
      </c>
      <c r="N1231" s="120">
        <v>-9999</v>
      </c>
      <c r="O1231" s="120">
        <v>2</v>
      </c>
      <c r="P1231" s="120">
        <v>-9999</v>
      </c>
      <c r="Q1231" s="120">
        <v>262.5</v>
      </c>
      <c r="R1231" s="120">
        <v>209.19999694824199</v>
      </c>
      <c r="S1231" s="148">
        <v>14.5</v>
      </c>
      <c r="T1231" s="120">
        <v>-9999</v>
      </c>
      <c r="U1231" s="120">
        <v>15</v>
      </c>
      <c r="V1231" s="120">
        <v>-9999</v>
      </c>
      <c r="W1231" s="120">
        <v>-9999</v>
      </c>
      <c r="X1231" s="120">
        <v>-9999</v>
      </c>
      <c r="Y1231" s="120">
        <v>-9999</v>
      </c>
      <c r="Z1231" s="120">
        <v>-9999</v>
      </c>
      <c r="AA1231" s="120">
        <v>68</v>
      </c>
      <c r="AB1231" s="120">
        <v>14.5</v>
      </c>
      <c r="AC1231" s="120">
        <v>1230</v>
      </c>
      <c r="AD1231" s="120">
        <v>2502</v>
      </c>
      <c r="AE1231" s="120">
        <v>-9999</v>
      </c>
      <c r="AF1231" s="120">
        <v>-9999</v>
      </c>
      <c r="AG1231" s="120">
        <v>-9999</v>
      </c>
    </row>
    <row r="1232" spans="1:33" x14ac:dyDescent="0.25">
      <c r="A1232" s="120">
        <v>1231</v>
      </c>
      <c r="B1232" s="120" t="b">
        <v>0</v>
      </c>
      <c r="C1232" s="120">
        <v>0</v>
      </c>
      <c r="D1232" s="61">
        <v>5</v>
      </c>
      <c r="E1232" s="120">
        <v>1</v>
      </c>
      <c r="F1232" s="120" t="s">
        <v>180</v>
      </c>
      <c r="G1232" s="55">
        <v>250</v>
      </c>
      <c r="H1232" s="120">
        <v>1440</v>
      </c>
      <c r="I1232" s="57">
        <v>100</v>
      </c>
      <c r="J1232" s="120">
        <v>110</v>
      </c>
      <c r="K1232" s="120">
        <v>5</v>
      </c>
      <c r="L1232" s="120">
        <v>100</v>
      </c>
      <c r="M1232" s="120">
        <v>-9999</v>
      </c>
      <c r="N1232" s="120">
        <v>-9999</v>
      </c>
      <c r="O1232" s="120">
        <v>5</v>
      </c>
      <c r="P1232" s="120">
        <v>-9999</v>
      </c>
      <c r="Q1232" s="120">
        <v>262.5</v>
      </c>
      <c r="R1232" s="120">
        <v>209.19999694824199</v>
      </c>
      <c r="S1232" s="148">
        <v>14.5</v>
      </c>
      <c r="T1232" s="120">
        <v>-9999</v>
      </c>
      <c r="U1232" s="120">
        <v>15</v>
      </c>
      <c r="V1232" s="120">
        <v>-9999</v>
      </c>
      <c r="W1232" s="120">
        <v>-9999</v>
      </c>
      <c r="X1232" s="120">
        <v>-9999</v>
      </c>
      <c r="Y1232" s="120">
        <v>-9999</v>
      </c>
      <c r="Z1232" s="120">
        <v>-9999</v>
      </c>
      <c r="AA1232" s="120">
        <v>68</v>
      </c>
      <c r="AB1232" s="120">
        <v>14.5</v>
      </c>
      <c r="AC1232" s="120">
        <v>1231</v>
      </c>
      <c r="AD1232" s="120">
        <v>2503</v>
      </c>
      <c r="AE1232" s="120">
        <v>-9999</v>
      </c>
      <c r="AF1232" s="120">
        <v>-9999</v>
      </c>
      <c r="AG1232" s="120">
        <v>-9999</v>
      </c>
    </row>
    <row r="1233" spans="1:33" x14ac:dyDescent="0.25">
      <c r="A1233" s="120">
        <v>1232</v>
      </c>
      <c r="B1233" s="120" t="b">
        <v>0</v>
      </c>
      <c r="C1233" s="120">
        <v>0</v>
      </c>
      <c r="D1233" s="61">
        <v>5</v>
      </c>
      <c r="E1233" s="120">
        <v>1</v>
      </c>
      <c r="F1233" s="120" t="s">
        <v>180</v>
      </c>
      <c r="G1233" s="55">
        <v>250</v>
      </c>
      <c r="H1233" s="120">
        <v>1383</v>
      </c>
      <c r="I1233" s="57">
        <v>110</v>
      </c>
      <c r="J1233" s="120">
        <v>120</v>
      </c>
      <c r="K1233" s="120">
        <v>4</v>
      </c>
      <c r="L1233" s="120">
        <v>100</v>
      </c>
      <c r="M1233" s="120">
        <v>-9999</v>
      </c>
      <c r="N1233" s="120">
        <v>-9999</v>
      </c>
      <c r="O1233" s="120">
        <v>2</v>
      </c>
      <c r="P1233" s="120">
        <v>-9999</v>
      </c>
      <c r="Q1233" s="120">
        <v>262.5</v>
      </c>
      <c r="R1233" s="120">
        <v>209.19999694824199</v>
      </c>
      <c r="S1233" s="148">
        <v>15.1000003814697</v>
      </c>
      <c r="T1233" s="120">
        <v>-9999</v>
      </c>
      <c r="U1233" s="120">
        <v>15</v>
      </c>
      <c r="V1233" s="120">
        <v>-9999</v>
      </c>
      <c r="W1233" s="120">
        <v>-9999</v>
      </c>
      <c r="X1233" s="120">
        <v>-9999</v>
      </c>
      <c r="Y1233" s="120">
        <v>-9999</v>
      </c>
      <c r="Z1233" s="120">
        <v>-9999</v>
      </c>
      <c r="AA1233" s="120">
        <v>68</v>
      </c>
      <c r="AB1233" s="120">
        <v>14.5</v>
      </c>
      <c r="AC1233" s="120">
        <v>1232</v>
      </c>
      <c r="AD1233" s="120">
        <v>2504</v>
      </c>
      <c r="AE1233" s="120">
        <v>-9999</v>
      </c>
      <c r="AF1233" s="120">
        <v>-9999</v>
      </c>
      <c r="AG1233" s="120">
        <v>-9999</v>
      </c>
    </row>
    <row r="1234" spans="1:33" x14ac:dyDescent="0.25">
      <c r="A1234" s="120">
        <v>1233</v>
      </c>
      <c r="B1234" s="120" t="b">
        <v>0</v>
      </c>
      <c r="C1234" s="120">
        <v>0</v>
      </c>
      <c r="D1234" s="61">
        <v>5</v>
      </c>
      <c r="E1234" s="120">
        <v>1</v>
      </c>
      <c r="F1234" s="120" t="s">
        <v>180</v>
      </c>
      <c r="G1234" s="55">
        <v>250</v>
      </c>
      <c r="H1234" s="120">
        <v>1383</v>
      </c>
      <c r="I1234" s="57">
        <v>110</v>
      </c>
      <c r="J1234" s="120">
        <v>120</v>
      </c>
      <c r="K1234" s="120">
        <v>5</v>
      </c>
      <c r="L1234" s="120">
        <v>100</v>
      </c>
      <c r="M1234" s="120">
        <v>-9999</v>
      </c>
      <c r="N1234" s="120">
        <v>-9999</v>
      </c>
      <c r="O1234" s="120">
        <v>5</v>
      </c>
      <c r="P1234" s="120">
        <v>-9999</v>
      </c>
      <c r="Q1234" s="120">
        <v>262.5</v>
      </c>
      <c r="R1234" s="120">
        <v>209.19999694824199</v>
      </c>
      <c r="S1234" s="148">
        <v>15.1000003814697</v>
      </c>
      <c r="T1234" s="120">
        <v>-9999</v>
      </c>
      <c r="U1234" s="120">
        <v>15</v>
      </c>
      <c r="V1234" s="120">
        <v>-9999</v>
      </c>
      <c r="W1234" s="120">
        <v>-9999</v>
      </c>
      <c r="X1234" s="120">
        <v>-9999</v>
      </c>
      <c r="Y1234" s="120">
        <v>-9999</v>
      </c>
      <c r="Z1234" s="120">
        <v>-9999</v>
      </c>
      <c r="AA1234" s="120">
        <v>68</v>
      </c>
      <c r="AB1234" s="120">
        <v>14.5</v>
      </c>
      <c r="AC1234" s="120">
        <v>1233</v>
      </c>
      <c r="AD1234" s="120">
        <v>2505</v>
      </c>
      <c r="AE1234" s="120">
        <v>-9999</v>
      </c>
      <c r="AF1234" s="120">
        <v>-9999</v>
      </c>
      <c r="AG1234" s="120">
        <v>-9999</v>
      </c>
    </row>
    <row r="1235" spans="1:33" x14ac:dyDescent="0.25">
      <c r="A1235" s="120">
        <v>1234</v>
      </c>
      <c r="B1235" s="120" t="b">
        <v>0</v>
      </c>
      <c r="C1235" s="120">
        <v>0</v>
      </c>
      <c r="D1235" s="61">
        <v>5</v>
      </c>
      <c r="E1235" s="120">
        <v>1</v>
      </c>
      <c r="F1235" s="120" t="s">
        <v>180</v>
      </c>
      <c r="G1235" s="55">
        <v>250</v>
      </c>
      <c r="H1235" s="120">
        <v>1357</v>
      </c>
      <c r="I1235" s="57">
        <v>115</v>
      </c>
      <c r="J1235" s="120">
        <v>125</v>
      </c>
      <c r="K1235" s="120">
        <v>4</v>
      </c>
      <c r="L1235" s="120">
        <v>100</v>
      </c>
      <c r="M1235" s="120">
        <v>-9999</v>
      </c>
      <c r="N1235" s="120">
        <v>-9999</v>
      </c>
      <c r="O1235" s="120">
        <v>2</v>
      </c>
      <c r="P1235" s="120">
        <v>-9999</v>
      </c>
      <c r="Q1235" s="120">
        <v>262.5</v>
      </c>
      <c r="R1235" s="120">
        <v>209.19999694824199</v>
      </c>
      <c r="S1235" s="148">
        <v>15.3999996185303</v>
      </c>
      <c r="T1235" s="120">
        <v>-9999</v>
      </c>
      <c r="U1235" s="120">
        <v>15</v>
      </c>
      <c r="V1235" s="120">
        <v>-9999</v>
      </c>
      <c r="W1235" s="120">
        <v>-9999</v>
      </c>
      <c r="X1235" s="120">
        <v>-9999</v>
      </c>
      <c r="Y1235" s="120">
        <v>-9999</v>
      </c>
      <c r="Z1235" s="120">
        <v>-9999</v>
      </c>
      <c r="AA1235" s="120">
        <v>68</v>
      </c>
      <c r="AB1235" s="120">
        <v>14.5</v>
      </c>
      <c r="AC1235" s="120">
        <v>1234</v>
      </c>
      <c r="AD1235" s="120">
        <v>2506</v>
      </c>
      <c r="AE1235" s="120">
        <v>-9999</v>
      </c>
      <c r="AF1235" s="120">
        <v>-9999</v>
      </c>
      <c r="AG1235" s="120">
        <v>-9999</v>
      </c>
    </row>
    <row r="1236" spans="1:33" x14ac:dyDescent="0.25">
      <c r="A1236" s="120">
        <v>1235</v>
      </c>
      <c r="B1236" s="120" t="b">
        <v>0</v>
      </c>
      <c r="C1236" s="120">
        <v>0</v>
      </c>
      <c r="D1236" s="61">
        <v>5</v>
      </c>
      <c r="E1236" s="120">
        <v>1</v>
      </c>
      <c r="F1236" s="120" t="s">
        <v>180</v>
      </c>
      <c r="G1236" s="55">
        <v>250</v>
      </c>
      <c r="H1236" s="120">
        <v>1357</v>
      </c>
      <c r="I1236" s="57">
        <v>115</v>
      </c>
      <c r="J1236" s="120">
        <v>125</v>
      </c>
      <c r="K1236" s="120">
        <v>5</v>
      </c>
      <c r="L1236" s="120">
        <v>100</v>
      </c>
      <c r="M1236" s="120">
        <v>-9999</v>
      </c>
      <c r="N1236" s="120">
        <v>-9999</v>
      </c>
      <c r="O1236" s="120">
        <v>5</v>
      </c>
      <c r="P1236" s="120">
        <v>-9999</v>
      </c>
      <c r="Q1236" s="120">
        <v>262.5</v>
      </c>
      <c r="R1236" s="120">
        <v>209.19999694824199</v>
      </c>
      <c r="S1236" s="148">
        <v>15.3999996185303</v>
      </c>
      <c r="T1236" s="120">
        <v>-9999</v>
      </c>
      <c r="U1236" s="120">
        <v>15</v>
      </c>
      <c r="V1236" s="120">
        <v>-9999</v>
      </c>
      <c r="W1236" s="120">
        <v>-9999</v>
      </c>
      <c r="X1236" s="120">
        <v>-9999</v>
      </c>
      <c r="Y1236" s="120">
        <v>-9999</v>
      </c>
      <c r="Z1236" s="120">
        <v>-9999</v>
      </c>
      <c r="AA1236" s="120">
        <v>68</v>
      </c>
      <c r="AB1236" s="120">
        <v>14.5</v>
      </c>
      <c r="AC1236" s="120">
        <v>1235</v>
      </c>
      <c r="AD1236" s="120">
        <v>2507</v>
      </c>
      <c r="AE1236" s="120">
        <v>-9999</v>
      </c>
      <c r="AF1236" s="120">
        <v>-9999</v>
      </c>
      <c r="AG1236" s="120">
        <v>-9999</v>
      </c>
    </row>
    <row r="1237" spans="1:33" x14ac:dyDescent="0.25">
      <c r="A1237" s="120">
        <v>1236</v>
      </c>
      <c r="B1237" s="120" t="b">
        <v>0</v>
      </c>
      <c r="C1237" s="120">
        <v>0</v>
      </c>
      <c r="D1237" s="61">
        <v>5</v>
      </c>
      <c r="E1237" s="120">
        <v>1</v>
      </c>
      <c r="F1237" s="120" t="s">
        <v>180</v>
      </c>
      <c r="G1237" s="55">
        <v>250</v>
      </c>
      <c r="H1237" s="120">
        <v>1309</v>
      </c>
      <c r="I1237" s="57">
        <v>125</v>
      </c>
      <c r="J1237" s="120">
        <v>135</v>
      </c>
      <c r="K1237" s="120">
        <v>4</v>
      </c>
      <c r="L1237" s="120">
        <v>100</v>
      </c>
      <c r="M1237" s="120">
        <v>-9999</v>
      </c>
      <c r="N1237" s="120">
        <v>-9999</v>
      </c>
      <c r="O1237" s="120">
        <v>2</v>
      </c>
      <c r="P1237" s="120">
        <v>-9999</v>
      </c>
      <c r="Q1237" s="120">
        <v>262.5</v>
      </c>
      <c r="R1237" s="120">
        <v>209.19999694824199</v>
      </c>
      <c r="S1237" s="148">
        <v>16</v>
      </c>
      <c r="T1237" s="120">
        <v>-9999</v>
      </c>
      <c r="U1237" s="120">
        <v>15</v>
      </c>
      <c r="V1237" s="120">
        <v>-9999</v>
      </c>
      <c r="W1237" s="120">
        <v>-9999</v>
      </c>
      <c r="X1237" s="120">
        <v>-9999</v>
      </c>
      <c r="Y1237" s="120">
        <v>-9999</v>
      </c>
      <c r="Z1237" s="120">
        <v>-9999</v>
      </c>
      <c r="AA1237" s="120">
        <v>68</v>
      </c>
      <c r="AB1237" s="120">
        <v>14.5</v>
      </c>
      <c r="AC1237" s="120">
        <v>1236</v>
      </c>
      <c r="AD1237" s="120">
        <v>2508</v>
      </c>
      <c r="AE1237" s="120">
        <v>-9999</v>
      </c>
      <c r="AF1237" s="120">
        <v>-9999</v>
      </c>
      <c r="AG1237" s="120">
        <v>-9999</v>
      </c>
    </row>
    <row r="1238" spans="1:33" x14ac:dyDescent="0.25">
      <c r="A1238" s="120">
        <v>1237</v>
      </c>
      <c r="B1238" s="120" t="b">
        <v>0</v>
      </c>
      <c r="C1238" s="120">
        <v>0</v>
      </c>
      <c r="D1238" s="61">
        <v>5</v>
      </c>
      <c r="E1238" s="120">
        <v>1</v>
      </c>
      <c r="F1238" s="120" t="s">
        <v>180</v>
      </c>
      <c r="G1238" s="55">
        <v>250</v>
      </c>
      <c r="H1238" s="120">
        <v>1309</v>
      </c>
      <c r="I1238" s="57">
        <v>125</v>
      </c>
      <c r="J1238" s="120">
        <v>135</v>
      </c>
      <c r="K1238" s="120">
        <v>5</v>
      </c>
      <c r="L1238" s="120">
        <v>100</v>
      </c>
      <c r="M1238" s="120">
        <v>-9999</v>
      </c>
      <c r="N1238" s="120">
        <v>-9999</v>
      </c>
      <c r="O1238" s="120">
        <v>5</v>
      </c>
      <c r="P1238" s="120">
        <v>-9999</v>
      </c>
      <c r="Q1238" s="120">
        <v>262.5</v>
      </c>
      <c r="R1238" s="120">
        <v>209.19999694824199</v>
      </c>
      <c r="S1238" s="148">
        <v>16</v>
      </c>
      <c r="T1238" s="120">
        <v>-9999</v>
      </c>
      <c r="U1238" s="120">
        <v>15</v>
      </c>
      <c r="V1238" s="120">
        <v>-9999</v>
      </c>
      <c r="W1238" s="120">
        <v>-9999</v>
      </c>
      <c r="X1238" s="120">
        <v>-9999</v>
      </c>
      <c r="Y1238" s="120">
        <v>-9999</v>
      </c>
      <c r="Z1238" s="120">
        <v>-9999</v>
      </c>
      <c r="AA1238" s="120">
        <v>68</v>
      </c>
      <c r="AB1238" s="120">
        <v>14.5</v>
      </c>
      <c r="AC1238" s="120">
        <v>1237</v>
      </c>
      <c r="AD1238" s="120">
        <v>2509</v>
      </c>
      <c r="AE1238" s="120">
        <v>-9999</v>
      </c>
      <c r="AF1238" s="120">
        <v>-9999</v>
      </c>
      <c r="AG1238" s="120">
        <v>-9999</v>
      </c>
    </row>
    <row r="1239" spans="1:33" x14ac:dyDescent="0.25">
      <c r="A1239" s="120">
        <v>1238</v>
      </c>
      <c r="B1239" s="120" t="b">
        <v>0</v>
      </c>
      <c r="C1239" s="120">
        <v>0</v>
      </c>
      <c r="D1239" s="61">
        <v>5</v>
      </c>
      <c r="E1239" s="120">
        <v>1</v>
      </c>
      <c r="F1239" s="120" t="s">
        <v>181</v>
      </c>
      <c r="G1239" s="55">
        <v>300</v>
      </c>
      <c r="H1239" s="120">
        <v>1965</v>
      </c>
      <c r="I1239" s="57">
        <v>80</v>
      </c>
      <c r="J1239" s="120">
        <v>90</v>
      </c>
      <c r="K1239" s="120">
        <v>4</v>
      </c>
      <c r="L1239" s="120">
        <v>100</v>
      </c>
      <c r="M1239" s="120">
        <v>-9999</v>
      </c>
      <c r="N1239" s="120">
        <v>-9999</v>
      </c>
      <c r="O1239" s="120">
        <v>2</v>
      </c>
      <c r="P1239" s="120">
        <v>-9999</v>
      </c>
      <c r="Q1239" s="120">
        <v>315</v>
      </c>
      <c r="R1239" s="120">
        <v>249.69999694824199</v>
      </c>
      <c r="S1239" s="148">
        <v>12.699999809265099</v>
      </c>
      <c r="T1239" s="120">
        <v>-9999</v>
      </c>
      <c r="U1239" s="120">
        <v>15</v>
      </c>
      <c r="V1239" s="120">
        <v>-9999</v>
      </c>
      <c r="W1239" s="120">
        <v>-9999</v>
      </c>
      <c r="X1239" s="120">
        <v>-9999</v>
      </c>
      <c r="Y1239" s="120">
        <v>-9999</v>
      </c>
      <c r="Z1239" s="120">
        <v>-9999</v>
      </c>
      <c r="AA1239" s="120">
        <v>68</v>
      </c>
      <c r="AB1239" s="120">
        <v>14.5</v>
      </c>
      <c r="AC1239" s="120">
        <v>1238</v>
      </c>
      <c r="AD1239" s="120">
        <v>2510</v>
      </c>
      <c r="AE1239" s="120">
        <v>-9999</v>
      </c>
      <c r="AF1239" s="120">
        <v>-9999</v>
      </c>
      <c r="AG1239" s="120">
        <v>-9999</v>
      </c>
    </row>
    <row r="1240" spans="1:33" x14ac:dyDescent="0.25">
      <c r="A1240" s="120">
        <v>1239</v>
      </c>
      <c r="B1240" s="120" t="b">
        <v>0</v>
      </c>
      <c r="C1240" s="120">
        <v>0</v>
      </c>
      <c r="D1240" s="61">
        <v>5</v>
      </c>
      <c r="E1240" s="120">
        <v>1</v>
      </c>
      <c r="F1240" s="120" t="s">
        <v>181</v>
      </c>
      <c r="G1240" s="55">
        <v>300</v>
      </c>
      <c r="H1240" s="120">
        <v>1965</v>
      </c>
      <c r="I1240" s="57">
        <v>80</v>
      </c>
      <c r="J1240" s="120">
        <v>90</v>
      </c>
      <c r="K1240" s="120">
        <v>5</v>
      </c>
      <c r="L1240" s="120">
        <v>100</v>
      </c>
      <c r="M1240" s="120">
        <v>-9999</v>
      </c>
      <c r="N1240" s="120">
        <v>-9999</v>
      </c>
      <c r="O1240" s="120">
        <v>5</v>
      </c>
      <c r="P1240" s="120">
        <v>-9999</v>
      </c>
      <c r="Q1240" s="120">
        <v>315</v>
      </c>
      <c r="R1240" s="120">
        <v>249.69999694824199</v>
      </c>
      <c r="S1240" s="148">
        <v>12.699999809265099</v>
      </c>
      <c r="T1240" s="120">
        <v>-9999</v>
      </c>
      <c r="U1240" s="120">
        <v>15</v>
      </c>
      <c r="V1240" s="120">
        <v>-9999</v>
      </c>
      <c r="W1240" s="120">
        <v>-9999</v>
      </c>
      <c r="X1240" s="120">
        <v>-9999</v>
      </c>
      <c r="Y1240" s="120">
        <v>-9999</v>
      </c>
      <c r="Z1240" s="120">
        <v>-9999</v>
      </c>
      <c r="AA1240" s="120">
        <v>68</v>
      </c>
      <c r="AB1240" s="120">
        <v>14.5</v>
      </c>
      <c r="AC1240" s="120">
        <v>1239</v>
      </c>
      <c r="AD1240" s="120">
        <v>2511</v>
      </c>
      <c r="AE1240" s="120">
        <v>-9999</v>
      </c>
      <c r="AF1240" s="120">
        <v>-9999</v>
      </c>
      <c r="AG1240" s="120">
        <v>-9999</v>
      </c>
    </row>
    <row r="1241" spans="1:33" x14ac:dyDescent="0.25">
      <c r="A1241" s="120">
        <v>1240</v>
      </c>
      <c r="B1241" s="120" t="b">
        <v>0</v>
      </c>
      <c r="C1241" s="120">
        <v>0</v>
      </c>
      <c r="D1241" s="61">
        <v>5</v>
      </c>
      <c r="E1241" s="120">
        <v>1</v>
      </c>
      <c r="F1241" s="120" t="s">
        <v>181</v>
      </c>
      <c r="G1241" s="55">
        <v>300</v>
      </c>
      <c r="H1241" s="120">
        <v>1786</v>
      </c>
      <c r="I1241" s="57">
        <v>100</v>
      </c>
      <c r="J1241" s="120">
        <v>110</v>
      </c>
      <c r="K1241" s="120">
        <v>4</v>
      </c>
      <c r="L1241" s="120">
        <v>100</v>
      </c>
      <c r="M1241" s="120">
        <v>-9999</v>
      </c>
      <c r="N1241" s="120">
        <v>-9999</v>
      </c>
      <c r="O1241" s="120">
        <v>2</v>
      </c>
      <c r="P1241" s="120">
        <v>-9999</v>
      </c>
      <c r="Q1241" s="120">
        <v>315</v>
      </c>
      <c r="R1241" s="120">
        <v>249.69999694824199</v>
      </c>
      <c r="S1241" s="148">
        <v>14</v>
      </c>
      <c r="T1241" s="120">
        <v>-9999</v>
      </c>
      <c r="U1241" s="120">
        <v>15</v>
      </c>
      <c r="V1241" s="120">
        <v>-9999</v>
      </c>
      <c r="W1241" s="120">
        <v>-9999</v>
      </c>
      <c r="X1241" s="120">
        <v>-9999</v>
      </c>
      <c r="Y1241" s="120">
        <v>-9999</v>
      </c>
      <c r="Z1241" s="120">
        <v>-9999</v>
      </c>
      <c r="AA1241" s="120">
        <v>68</v>
      </c>
      <c r="AB1241" s="120">
        <v>14.5</v>
      </c>
      <c r="AC1241" s="120">
        <v>1240</v>
      </c>
      <c r="AD1241" s="120">
        <v>2512</v>
      </c>
      <c r="AE1241" s="120">
        <v>-9999</v>
      </c>
      <c r="AF1241" s="120">
        <v>-9999</v>
      </c>
      <c r="AG1241" s="120">
        <v>-9999</v>
      </c>
    </row>
    <row r="1242" spans="1:33" x14ac:dyDescent="0.25">
      <c r="A1242" s="120">
        <v>1241</v>
      </c>
      <c r="B1242" s="120" t="b">
        <v>0</v>
      </c>
      <c r="C1242" s="120">
        <v>0</v>
      </c>
      <c r="D1242" s="61">
        <v>5</v>
      </c>
      <c r="E1242" s="120">
        <v>1</v>
      </c>
      <c r="F1242" s="120" t="s">
        <v>181</v>
      </c>
      <c r="G1242" s="55">
        <v>300</v>
      </c>
      <c r="H1242" s="120">
        <v>1786</v>
      </c>
      <c r="I1242" s="57">
        <v>100</v>
      </c>
      <c r="J1242" s="120">
        <v>110</v>
      </c>
      <c r="K1242" s="120">
        <v>5</v>
      </c>
      <c r="L1242" s="120">
        <v>100</v>
      </c>
      <c r="M1242" s="120">
        <v>-9999</v>
      </c>
      <c r="N1242" s="120">
        <v>-9999</v>
      </c>
      <c r="O1242" s="120">
        <v>5</v>
      </c>
      <c r="P1242" s="120">
        <v>-9999</v>
      </c>
      <c r="Q1242" s="120">
        <v>315</v>
      </c>
      <c r="R1242" s="120">
        <v>249.69999694824199</v>
      </c>
      <c r="S1242" s="148">
        <v>14</v>
      </c>
      <c r="T1242" s="120">
        <v>-9999</v>
      </c>
      <c r="U1242" s="120">
        <v>15</v>
      </c>
      <c r="V1242" s="120">
        <v>-9999</v>
      </c>
      <c r="W1242" s="120">
        <v>-9999</v>
      </c>
      <c r="X1242" s="120">
        <v>-9999</v>
      </c>
      <c r="Y1242" s="120">
        <v>-9999</v>
      </c>
      <c r="Z1242" s="120">
        <v>-9999</v>
      </c>
      <c r="AA1242" s="120">
        <v>68</v>
      </c>
      <c r="AB1242" s="120">
        <v>14.5</v>
      </c>
      <c r="AC1242" s="120">
        <v>1241</v>
      </c>
      <c r="AD1242" s="120">
        <v>2513</v>
      </c>
      <c r="AE1242" s="120">
        <v>-9999</v>
      </c>
      <c r="AF1242" s="120">
        <v>-9999</v>
      </c>
      <c r="AG1242" s="120">
        <v>-9999</v>
      </c>
    </row>
    <row r="1243" spans="1:33" x14ac:dyDescent="0.25">
      <c r="A1243" s="120">
        <v>1242</v>
      </c>
      <c r="B1243" s="120" t="b">
        <v>0</v>
      </c>
      <c r="C1243" s="120">
        <v>0</v>
      </c>
      <c r="D1243" s="61">
        <v>5</v>
      </c>
      <c r="E1243" s="120">
        <v>1</v>
      </c>
      <c r="F1243" s="120" t="s">
        <v>181</v>
      </c>
      <c r="G1243" s="55">
        <v>300</v>
      </c>
      <c r="H1243" s="120">
        <v>1716</v>
      </c>
      <c r="I1243" s="57">
        <v>110</v>
      </c>
      <c r="J1243" s="120">
        <v>120</v>
      </c>
      <c r="K1243" s="120">
        <v>4</v>
      </c>
      <c r="L1243" s="120">
        <v>100</v>
      </c>
      <c r="M1243" s="120">
        <v>-9999</v>
      </c>
      <c r="N1243" s="120">
        <v>-9999</v>
      </c>
      <c r="O1243" s="120">
        <v>2</v>
      </c>
      <c r="P1243" s="120">
        <v>-9999</v>
      </c>
      <c r="Q1243" s="120">
        <v>315</v>
      </c>
      <c r="R1243" s="120">
        <v>249.69999694824199</v>
      </c>
      <c r="S1243" s="148">
        <v>14.6000003814697</v>
      </c>
      <c r="T1243" s="120">
        <v>-9999</v>
      </c>
      <c r="U1243" s="120">
        <v>15</v>
      </c>
      <c r="V1243" s="120">
        <v>-9999</v>
      </c>
      <c r="W1243" s="120">
        <v>-9999</v>
      </c>
      <c r="X1243" s="120">
        <v>-9999</v>
      </c>
      <c r="Y1243" s="120">
        <v>-9999</v>
      </c>
      <c r="Z1243" s="120">
        <v>-9999</v>
      </c>
      <c r="AA1243" s="120">
        <v>68</v>
      </c>
      <c r="AB1243" s="120">
        <v>14.5</v>
      </c>
      <c r="AC1243" s="120">
        <v>1242</v>
      </c>
      <c r="AD1243" s="120">
        <v>2514</v>
      </c>
      <c r="AE1243" s="120">
        <v>-9999</v>
      </c>
      <c r="AF1243" s="120">
        <v>-9999</v>
      </c>
      <c r="AG1243" s="120">
        <v>-9999</v>
      </c>
    </row>
    <row r="1244" spans="1:33" x14ac:dyDescent="0.25">
      <c r="A1244" s="120">
        <v>1243</v>
      </c>
      <c r="B1244" s="120" t="b">
        <v>0</v>
      </c>
      <c r="C1244" s="120">
        <v>0</v>
      </c>
      <c r="D1244" s="61">
        <v>5</v>
      </c>
      <c r="E1244" s="120">
        <v>1</v>
      </c>
      <c r="F1244" s="120" t="s">
        <v>181</v>
      </c>
      <c r="G1244" s="55">
        <v>300</v>
      </c>
      <c r="H1244" s="120">
        <v>1716</v>
      </c>
      <c r="I1244" s="57">
        <v>110</v>
      </c>
      <c r="J1244" s="120">
        <v>120</v>
      </c>
      <c r="K1244" s="120">
        <v>5</v>
      </c>
      <c r="L1244" s="120">
        <v>100</v>
      </c>
      <c r="M1244" s="120">
        <v>-9999</v>
      </c>
      <c r="N1244" s="120">
        <v>-9999</v>
      </c>
      <c r="O1244" s="120">
        <v>5</v>
      </c>
      <c r="P1244" s="120">
        <v>-9999</v>
      </c>
      <c r="Q1244" s="120">
        <v>315</v>
      </c>
      <c r="R1244" s="120">
        <v>249.69999694824199</v>
      </c>
      <c r="S1244" s="148">
        <v>14.6000003814697</v>
      </c>
      <c r="T1244" s="120">
        <v>-9999</v>
      </c>
      <c r="U1244" s="120">
        <v>15</v>
      </c>
      <c r="V1244" s="120">
        <v>-9999</v>
      </c>
      <c r="W1244" s="120">
        <v>-9999</v>
      </c>
      <c r="X1244" s="120">
        <v>-9999</v>
      </c>
      <c r="Y1244" s="120">
        <v>-9999</v>
      </c>
      <c r="Z1244" s="120">
        <v>-9999</v>
      </c>
      <c r="AA1244" s="120">
        <v>68</v>
      </c>
      <c r="AB1244" s="120">
        <v>14.5</v>
      </c>
      <c r="AC1244" s="120">
        <v>1243</v>
      </c>
      <c r="AD1244" s="120">
        <v>2515</v>
      </c>
      <c r="AE1244" s="120">
        <v>-9999</v>
      </c>
      <c r="AF1244" s="120">
        <v>-9999</v>
      </c>
      <c r="AG1244" s="120">
        <v>-9999</v>
      </c>
    </row>
    <row r="1245" spans="1:33" x14ac:dyDescent="0.25">
      <c r="A1245" s="120">
        <v>1244</v>
      </c>
      <c r="B1245" s="120" t="b">
        <v>0</v>
      </c>
      <c r="C1245" s="120">
        <v>0</v>
      </c>
      <c r="D1245" s="61">
        <v>5</v>
      </c>
      <c r="E1245" s="120">
        <v>1</v>
      </c>
      <c r="F1245" s="120" t="s">
        <v>181</v>
      </c>
      <c r="G1245" s="55">
        <v>300</v>
      </c>
      <c r="H1245" s="120">
        <v>1675</v>
      </c>
      <c r="I1245" s="57">
        <v>115</v>
      </c>
      <c r="J1245" s="120">
        <v>125</v>
      </c>
      <c r="K1245" s="120">
        <v>4</v>
      </c>
      <c r="L1245" s="120">
        <v>100</v>
      </c>
      <c r="M1245" s="120">
        <v>-9999</v>
      </c>
      <c r="N1245" s="120">
        <v>-9999</v>
      </c>
      <c r="O1245" s="120">
        <v>2</v>
      </c>
      <c r="P1245" s="120">
        <v>-9999</v>
      </c>
      <c r="Q1245" s="120">
        <v>315</v>
      </c>
      <c r="R1245" s="120">
        <v>249.69999694824199</v>
      </c>
      <c r="S1245" s="148">
        <v>14.8999996185303</v>
      </c>
      <c r="T1245" s="120">
        <v>-9999</v>
      </c>
      <c r="U1245" s="120">
        <v>15</v>
      </c>
      <c r="V1245" s="120">
        <v>-9999</v>
      </c>
      <c r="W1245" s="120">
        <v>-9999</v>
      </c>
      <c r="X1245" s="120">
        <v>-9999</v>
      </c>
      <c r="Y1245" s="120">
        <v>-9999</v>
      </c>
      <c r="Z1245" s="120">
        <v>-9999</v>
      </c>
      <c r="AA1245" s="120">
        <v>68</v>
      </c>
      <c r="AB1245" s="120">
        <v>14.5</v>
      </c>
      <c r="AC1245" s="120">
        <v>1244</v>
      </c>
      <c r="AD1245" s="120">
        <v>2516</v>
      </c>
      <c r="AE1245" s="120">
        <v>-9999</v>
      </c>
      <c r="AF1245" s="120">
        <v>-9999</v>
      </c>
      <c r="AG1245" s="120">
        <v>-9999</v>
      </c>
    </row>
    <row r="1246" spans="1:33" x14ac:dyDescent="0.25">
      <c r="A1246" s="120">
        <v>1245</v>
      </c>
      <c r="B1246" s="120" t="b">
        <v>0</v>
      </c>
      <c r="C1246" s="120">
        <v>0</v>
      </c>
      <c r="D1246" s="61">
        <v>5</v>
      </c>
      <c r="E1246" s="120">
        <v>1</v>
      </c>
      <c r="F1246" s="120" t="s">
        <v>181</v>
      </c>
      <c r="G1246" s="55">
        <v>300</v>
      </c>
      <c r="H1246" s="120">
        <v>1675</v>
      </c>
      <c r="I1246" s="57">
        <v>115</v>
      </c>
      <c r="J1246" s="120">
        <v>125</v>
      </c>
      <c r="K1246" s="120">
        <v>5</v>
      </c>
      <c r="L1246" s="120">
        <v>100</v>
      </c>
      <c r="M1246" s="120">
        <v>-9999</v>
      </c>
      <c r="N1246" s="120">
        <v>-9999</v>
      </c>
      <c r="O1246" s="120">
        <v>5</v>
      </c>
      <c r="P1246" s="120">
        <v>-9999</v>
      </c>
      <c r="Q1246" s="120">
        <v>315</v>
      </c>
      <c r="R1246" s="120">
        <v>249.69999694824199</v>
      </c>
      <c r="S1246" s="148">
        <v>14.8999996185303</v>
      </c>
      <c r="T1246" s="120">
        <v>-9999</v>
      </c>
      <c r="U1246" s="120">
        <v>15</v>
      </c>
      <c r="V1246" s="120">
        <v>-9999</v>
      </c>
      <c r="W1246" s="120">
        <v>-9999</v>
      </c>
      <c r="X1246" s="120">
        <v>-9999</v>
      </c>
      <c r="Y1246" s="120">
        <v>-9999</v>
      </c>
      <c r="Z1246" s="120">
        <v>-9999</v>
      </c>
      <c r="AA1246" s="120">
        <v>68</v>
      </c>
      <c r="AB1246" s="120">
        <v>14.5</v>
      </c>
      <c r="AC1246" s="120">
        <v>1245</v>
      </c>
      <c r="AD1246" s="120">
        <v>2517</v>
      </c>
      <c r="AE1246" s="120">
        <v>-9999</v>
      </c>
      <c r="AF1246" s="120">
        <v>-9999</v>
      </c>
      <c r="AG1246" s="120">
        <v>-9999</v>
      </c>
    </row>
    <row r="1247" spans="1:33" x14ac:dyDescent="0.25">
      <c r="A1247" s="120">
        <v>1246</v>
      </c>
      <c r="B1247" s="120" t="b">
        <v>0</v>
      </c>
      <c r="C1247" s="120">
        <v>0</v>
      </c>
      <c r="D1247" s="61">
        <v>5</v>
      </c>
      <c r="E1247" s="120">
        <v>1</v>
      </c>
      <c r="F1247" s="120" t="s">
        <v>181</v>
      </c>
      <c r="G1247" s="55">
        <v>300</v>
      </c>
      <c r="H1247" s="120">
        <v>1618</v>
      </c>
      <c r="I1247" s="57">
        <v>125</v>
      </c>
      <c r="J1247" s="120">
        <v>135</v>
      </c>
      <c r="K1247" s="120">
        <v>4</v>
      </c>
      <c r="L1247" s="120">
        <v>100</v>
      </c>
      <c r="M1247" s="120">
        <v>-9999</v>
      </c>
      <c r="N1247" s="120">
        <v>-9999</v>
      </c>
      <c r="O1247" s="120">
        <v>2</v>
      </c>
      <c r="P1247" s="120">
        <v>-9999</v>
      </c>
      <c r="Q1247" s="120">
        <v>315</v>
      </c>
      <c r="R1247" s="120">
        <v>249.69999694824199</v>
      </c>
      <c r="S1247" s="148">
        <v>94.699996948242202</v>
      </c>
      <c r="T1247" s="120">
        <v>-9999</v>
      </c>
      <c r="U1247" s="120">
        <v>15</v>
      </c>
      <c r="V1247" s="120">
        <v>-9999</v>
      </c>
      <c r="W1247" s="120">
        <v>-9999</v>
      </c>
      <c r="X1247" s="120">
        <v>-9999</v>
      </c>
      <c r="Y1247" s="120">
        <v>-9999</v>
      </c>
      <c r="Z1247" s="120">
        <v>-9999</v>
      </c>
      <c r="AA1247" s="120">
        <v>68</v>
      </c>
      <c r="AB1247" s="120">
        <v>14.5</v>
      </c>
      <c r="AC1247" s="120">
        <v>1246</v>
      </c>
      <c r="AD1247" s="120">
        <v>2518</v>
      </c>
      <c r="AE1247" s="120">
        <v>-9999</v>
      </c>
      <c r="AF1247" s="120">
        <v>-9999</v>
      </c>
      <c r="AG1247" s="120">
        <v>-9999</v>
      </c>
    </row>
    <row r="1248" spans="1:33" x14ac:dyDescent="0.25">
      <c r="A1248" s="120">
        <v>1247</v>
      </c>
      <c r="B1248" s="120" t="b">
        <v>0</v>
      </c>
      <c r="C1248" s="120">
        <v>0</v>
      </c>
      <c r="D1248" s="61">
        <v>5</v>
      </c>
      <c r="E1248" s="120">
        <v>1</v>
      </c>
      <c r="F1248" s="120" t="s">
        <v>181</v>
      </c>
      <c r="G1248" s="55">
        <v>300</v>
      </c>
      <c r="H1248" s="120">
        <v>1618</v>
      </c>
      <c r="I1248" s="57">
        <v>125</v>
      </c>
      <c r="J1248" s="120">
        <v>135</v>
      </c>
      <c r="K1248" s="120">
        <v>5</v>
      </c>
      <c r="L1248" s="120">
        <v>100</v>
      </c>
      <c r="M1248" s="120">
        <v>-9999</v>
      </c>
      <c r="N1248" s="120">
        <v>-9999</v>
      </c>
      <c r="O1248" s="120">
        <v>5</v>
      </c>
      <c r="P1248" s="120">
        <v>-9999</v>
      </c>
      <c r="Q1248" s="120">
        <v>315</v>
      </c>
      <c r="R1248" s="120">
        <v>249.69999694824199</v>
      </c>
      <c r="S1248" s="148">
        <v>94.699996948242202</v>
      </c>
      <c r="T1248" s="120">
        <v>-9999</v>
      </c>
      <c r="U1248" s="120">
        <v>15</v>
      </c>
      <c r="V1248" s="120">
        <v>-9999</v>
      </c>
      <c r="W1248" s="120">
        <v>-9999</v>
      </c>
      <c r="X1248" s="120">
        <v>-9999</v>
      </c>
      <c r="Y1248" s="120">
        <v>-9999</v>
      </c>
      <c r="Z1248" s="120">
        <v>-9999</v>
      </c>
      <c r="AA1248" s="120">
        <v>68</v>
      </c>
      <c r="AB1248" s="120">
        <v>14.5</v>
      </c>
      <c r="AC1248" s="120">
        <v>1247</v>
      </c>
      <c r="AD1248" s="120">
        <v>2519</v>
      </c>
      <c r="AE1248" s="120">
        <v>-9999</v>
      </c>
      <c r="AF1248" s="120">
        <v>-9999</v>
      </c>
      <c r="AG1248" s="120">
        <v>-9999</v>
      </c>
    </row>
    <row r="1249" spans="1:33" x14ac:dyDescent="0.25">
      <c r="A1249" s="120">
        <v>1248</v>
      </c>
      <c r="B1249" s="120" t="b">
        <v>0</v>
      </c>
      <c r="C1249" s="120">
        <v>0</v>
      </c>
      <c r="D1249" s="61">
        <v>5</v>
      </c>
      <c r="E1249" s="120">
        <v>1</v>
      </c>
      <c r="F1249" s="120" t="s">
        <v>182</v>
      </c>
      <c r="G1249" s="55">
        <v>350</v>
      </c>
      <c r="H1249" s="120">
        <v>2235</v>
      </c>
      <c r="I1249" s="57">
        <v>80</v>
      </c>
      <c r="J1249" s="120">
        <v>90</v>
      </c>
      <c r="K1249" s="120">
        <v>4</v>
      </c>
      <c r="L1249" s="120">
        <v>100</v>
      </c>
      <c r="M1249" s="120">
        <v>-9999</v>
      </c>
      <c r="N1249" s="120">
        <v>-9999</v>
      </c>
      <c r="O1249" s="120">
        <v>2</v>
      </c>
      <c r="P1249" s="120">
        <v>-9999</v>
      </c>
      <c r="Q1249" s="120">
        <v>367.5</v>
      </c>
      <c r="R1249" s="120">
        <v>290.10000610351602</v>
      </c>
      <c r="S1249" s="148">
        <v>13</v>
      </c>
      <c r="T1249" s="120">
        <v>-9999</v>
      </c>
      <c r="U1249" s="120">
        <v>15</v>
      </c>
      <c r="V1249" s="120">
        <v>-9999</v>
      </c>
      <c r="W1249" s="120">
        <v>-9999</v>
      </c>
      <c r="X1249" s="120">
        <v>-9999</v>
      </c>
      <c r="Y1249" s="120">
        <v>-9999</v>
      </c>
      <c r="Z1249" s="120">
        <v>-9999</v>
      </c>
      <c r="AA1249" s="120">
        <v>68</v>
      </c>
      <c r="AB1249" s="120">
        <v>14.5</v>
      </c>
      <c r="AC1249" s="120">
        <v>1248</v>
      </c>
      <c r="AD1249" s="120">
        <v>2520</v>
      </c>
      <c r="AE1249" s="120">
        <v>-9999</v>
      </c>
      <c r="AF1249" s="120">
        <v>-9999</v>
      </c>
      <c r="AG1249" s="120">
        <v>-9999</v>
      </c>
    </row>
    <row r="1250" spans="1:33" x14ac:dyDescent="0.25">
      <c r="A1250" s="120">
        <v>1249</v>
      </c>
      <c r="B1250" s="120" t="b">
        <v>0</v>
      </c>
      <c r="C1250" s="120">
        <v>0</v>
      </c>
      <c r="D1250" s="61">
        <v>5</v>
      </c>
      <c r="E1250" s="120">
        <v>1</v>
      </c>
      <c r="F1250" s="120" t="s">
        <v>182</v>
      </c>
      <c r="G1250" s="55">
        <v>350</v>
      </c>
      <c r="H1250" s="120">
        <v>2235</v>
      </c>
      <c r="I1250" s="57">
        <v>80</v>
      </c>
      <c r="J1250" s="120">
        <v>90</v>
      </c>
      <c r="K1250" s="120">
        <v>5</v>
      </c>
      <c r="L1250" s="120">
        <v>100</v>
      </c>
      <c r="M1250" s="120">
        <v>-9999</v>
      </c>
      <c r="N1250" s="120">
        <v>-9999</v>
      </c>
      <c r="O1250" s="120">
        <v>5</v>
      </c>
      <c r="P1250" s="120">
        <v>-9999</v>
      </c>
      <c r="Q1250" s="120">
        <v>367.5</v>
      </c>
      <c r="R1250" s="120">
        <v>290.10000610351602</v>
      </c>
      <c r="S1250" s="148">
        <v>13</v>
      </c>
      <c r="T1250" s="120">
        <v>-9999</v>
      </c>
      <c r="U1250" s="120">
        <v>15</v>
      </c>
      <c r="V1250" s="120">
        <v>-9999</v>
      </c>
      <c r="W1250" s="120">
        <v>-9999</v>
      </c>
      <c r="X1250" s="120">
        <v>-9999</v>
      </c>
      <c r="Y1250" s="120">
        <v>-9999</v>
      </c>
      <c r="Z1250" s="120">
        <v>-9999</v>
      </c>
      <c r="AA1250" s="120">
        <v>68</v>
      </c>
      <c r="AB1250" s="120">
        <v>14.5</v>
      </c>
      <c r="AC1250" s="120">
        <v>1249</v>
      </c>
      <c r="AD1250" s="120">
        <v>2521</v>
      </c>
      <c r="AE1250" s="120">
        <v>-9999</v>
      </c>
      <c r="AF1250" s="120">
        <v>-9999</v>
      </c>
      <c r="AG1250" s="120">
        <v>-9999</v>
      </c>
    </row>
    <row r="1251" spans="1:33" x14ac:dyDescent="0.25">
      <c r="A1251" s="120">
        <v>1250</v>
      </c>
      <c r="B1251" s="120" t="b">
        <v>0</v>
      </c>
      <c r="C1251" s="120">
        <v>0</v>
      </c>
      <c r="D1251" s="61">
        <v>5</v>
      </c>
      <c r="E1251" s="120">
        <v>1</v>
      </c>
      <c r="F1251" s="120" t="s">
        <v>182</v>
      </c>
      <c r="G1251" s="55">
        <v>350</v>
      </c>
      <c r="H1251" s="120">
        <v>2034</v>
      </c>
      <c r="I1251" s="57">
        <v>100</v>
      </c>
      <c r="J1251" s="120">
        <v>110</v>
      </c>
      <c r="K1251" s="120">
        <v>4</v>
      </c>
      <c r="L1251" s="120">
        <v>100</v>
      </c>
      <c r="M1251" s="120">
        <v>-9999</v>
      </c>
      <c r="N1251" s="120">
        <v>-9999</v>
      </c>
      <c r="O1251" s="120">
        <v>2</v>
      </c>
      <c r="P1251" s="120">
        <v>-9999</v>
      </c>
      <c r="Q1251" s="120">
        <v>367.5</v>
      </c>
      <c r="R1251" s="120">
        <v>290.10000610351602</v>
      </c>
      <c r="S1251" s="148">
        <v>14.300000190734901</v>
      </c>
      <c r="T1251" s="120">
        <v>-9999</v>
      </c>
      <c r="U1251" s="120">
        <v>15</v>
      </c>
      <c r="V1251" s="120">
        <v>-9999</v>
      </c>
      <c r="W1251" s="120">
        <v>-9999</v>
      </c>
      <c r="X1251" s="120">
        <v>-9999</v>
      </c>
      <c r="Y1251" s="120">
        <v>-9999</v>
      </c>
      <c r="Z1251" s="120">
        <v>-9999</v>
      </c>
      <c r="AA1251" s="120">
        <v>68</v>
      </c>
      <c r="AB1251" s="120">
        <v>14.5</v>
      </c>
      <c r="AC1251" s="120">
        <v>1250</v>
      </c>
      <c r="AD1251" s="120">
        <v>2522</v>
      </c>
      <c r="AE1251" s="120">
        <v>-9999</v>
      </c>
      <c r="AF1251" s="120">
        <v>-9999</v>
      </c>
      <c r="AG1251" s="120">
        <v>-9999</v>
      </c>
    </row>
    <row r="1252" spans="1:33" x14ac:dyDescent="0.25">
      <c r="A1252" s="120">
        <v>1251</v>
      </c>
      <c r="B1252" s="120" t="b">
        <v>0</v>
      </c>
      <c r="C1252" s="120">
        <v>0</v>
      </c>
      <c r="D1252" s="61">
        <v>5</v>
      </c>
      <c r="E1252" s="120">
        <v>1</v>
      </c>
      <c r="F1252" s="120" t="s">
        <v>182</v>
      </c>
      <c r="G1252" s="55">
        <v>350</v>
      </c>
      <c r="H1252" s="120">
        <v>2034</v>
      </c>
      <c r="I1252" s="57">
        <v>100</v>
      </c>
      <c r="J1252" s="120">
        <v>110</v>
      </c>
      <c r="K1252" s="120">
        <v>5</v>
      </c>
      <c r="L1252" s="120">
        <v>100</v>
      </c>
      <c r="M1252" s="120">
        <v>-9999</v>
      </c>
      <c r="N1252" s="120">
        <v>-9999</v>
      </c>
      <c r="O1252" s="120">
        <v>5</v>
      </c>
      <c r="P1252" s="120">
        <v>-9999</v>
      </c>
      <c r="Q1252" s="120">
        <v>367.5</v>
      </c>
      <c r="R1252" s="120">
        <v>290.10000610351602</v>
      </c>
      <c r="S1252" s="148">
        <v>14.300000190734901</v>
      </c>
      <c r="T1252" s="120">
        <v>-9999</v>
      </c>
      <c r="U1252" s="120">
        <v>15</v>
      </c>
      <c r="V1252" s="120">
        <v>-9999</v>
      </c>
      <c r="W1252" s="120">
        <v>-9999</v>
      </c>
      <c r="X1252" s="120">
        <v>-9999</v>
      </c>
      <c r="Y1252" s="120">
        <v>-9999</v>
      </c>
      <c r="Z1252" s="120">
        <v>-9999</v>
      </c>
      <c r="AA1252" s="120">
        <v>68</v>
      </c>
      <c r="AB1252" s="120">
        <v>14.5</v>
      </c>
      <c r="AC1252" s="120">
        <v>1251</v>
      </c>
      <c r="AD1252" s="120">
        <v>2523</v>
      </c>
      <c r="AE1252" s="120">
        <v>-9999</v>
      </c>
      <c r="AF1252" s="120">
        <v>-9999</v>
      </c>
      <c r="AG1252" s="120">
        <v>-9999</v>
      </c>
    </row>
    <row r="1253" spans="1:33" x14ac:dyDescent="0.25">
      <c r="A1253" s="120">
        <v>1252</v>
      </c>
      <c r="B1253" s="120" t="b">
        <v>0</v>
      </c>
      <c r="C1253" s="120">
        <v>0</v>
      </c>
      <c r="D1253" s="61">
        <v>5</v>
      </c>
      <c r="E1253" s="120">
        <v>1</v>
      </c>
      <c r="F1253" s="120" t="s">
        <v>182</v>
      </c>
      <c r="G1253" s="55">
        <v>350</v>
      </c>
      <c r="H1253" s="120">
        <v>1955</v>
      </c>
      <c r="I1253" s="57">
        <v>110</v>
      </c>
      <c r="J1253" s="120">
        <v>120</v>
      </c>
      <c r="K1253" s="120">
        <v>4</v>
      </c>
      <c r="L1253" s="120">
        <v>100</v>
      </c>
      <c r="M1253" s="120">
        <v>-9999</v>
      </c>
      <c r="N1253" s="120">
        <v>-9999</v>
      </c>
      <c r="O1253" s="120">
        <v>2</v>
      </c>
      <c r="P1253" s="120">
        <v>-9999</v>
      </c>
      <c r="Q1253" s="120">
        <v>367.5</v>
      </c>
      <c r="R1253" s="120">
        <v>290.10000610351602</v>
      </c>
      <c r="S1253" s="148">
        <v>14.800000190734901</v>
      </c>
      <c r="T1253" s="120">
        <v>-9999</v>
      </c>
      <c r="U1253" s="120">
        <v>15</v>
      </c>
      <c r="V1253" s="120">
        <v>-9999</v>
      </c>
      <c r="W1253" s="120">
        <v>-9999</v>
      </c>
      <c r="X1253" s="120">
        <v>-9999</v>
      </c>
      <c r="Y1253" s="120">
        <v>-9999</v>
      </c>
      <c r="Z1253" s="120">
        <v>-9999</v>
      </c>
      <c r="AA1253" s="120">
        <v>68</v>
      </c>
      <c r="AB1253" s="120">
        <v>14.5</v>
      </c>
      <c r="AC1253" s="120">
        <v>1252</v>
      </c>
      <c r="AD1253" s="120">
        <v>2524</v>
      </c>
      <c r="AE1253" s="120">
        <v>-9999</v>
      </c>
      <c r="AF1253" s="120">
        <v>-9999</v>
      </c>
      <c r="AG1253" s="120">
        <v>-9999</v>
      </c>
    </row>
    <row r="1254" spans="1:33" x14ac:dyDescent="0.25">
      <c r="A1254" s="120">
        <v>1253</v>
      </c>
      <c r="B1254" s="120" t="b">
        <v>0</v>
      </c>
      <c r="C1254" s="120">
        <v>0</v>
      </c>
      <c r="D1254" s="61">
        <v>5</v>
      </c>
      <c r="E1254" s="120">
        <v>1</v>
      </c>
      <c r="F1254" s="120" t="s">
        <v>182</v>
      </c>
      <c r="G1254" s="55">
        <v>350</v>
      </c>
      <c r="H1254" s="120">
        <v>1955</v>
      </c>
      <c r="I1254" s="57">
        <v>110</v>
      </c>
      <c r="J1254" s="120">
        <v>120</v>
      </c>
      <c r="K1254" s="120">
        <v>5</v>
      </c>
      <c r="L1254" s="120">
        <v>100</v>
      </c>
      <c r="M1254" s="120">
        <v>-9999</v>
      </c>
      <c r="N1254" s="120">
        <v>-9999</v>
      </c>
      <c r="O1254" s="120">
        <v>5</v>
      </c>
      <c r="P1254" s="120">
        <v>-9999</v>
      </c>
      <c r="Q1254" s="120">
        <v>367.5</v>
      </c>
      <c r="R1254" s="120">
        <v>290.10000610351602</v>
      </c>
      <c r="S1254" s="148">
        <v>14.800000190734901</v>
      </c>
      <c r="T1254" s="120">
        <v>-9999</v>
      </c>
      <c r="U1254" s="120">
        <v>15</v>
      </c>
      <c r="V1254" s="120">
        <v>-9999</v>
      </c>
      <c r="W1254" s="120">
        <v>-9999</v>
      </c>
      <c r="X1254" s="120">
        <v>-9999</v>
      </c>
      <c r="Y1254" s="120">
        <v>-9999</v>
      </c>
      <c r="Z1254" s="120">
        <v>-9999</v>
      </c>
      <c r="AA1254" s="120">
        <v>68</v>
      </c>
      <c r="AB1254" s="120">
        <v>14.5</v>
      </c>
      <c r="AC1254" s="120">
        <v>1253</v>
      </c>
      <c r="AD1254" s="120">
        <v>2525</v>
      </c>
      <c r="AE1254" s="120">
        <v>-9999</v>
      </c>
      <c r="AF1254" s="120">
        <v>-9999</v>
      </c>
      <c r="AG1254" s="120">
        <v>-9999</v>
      </c>
    </row>
    <row r="1255" spans="1:33" x14ac:dyDescent="0.25">
      <c r="A1255" s="120">
        <v>1254</v>
      </c>
      <c r="B1255" s="120" t="b">
        <v>0</v>
      </c>
      <c r="C1255" s="120">
        <v>0</v>
      </c>
      <c r="D1255" s="61">
        <v>5</v>
      </c>
      <c r="E1255" s="120">
        <v>1</v>
      </c>
      <c r="F1255" s="120" t="s">
        <v>182</v>
      </c>
      <c r="G1255" s="55">
        <v>350</v>
      </c>
      <c r="H1255" s="120">
        <v>1906</v>
      </c>
      <c r="I1255" s="57">
        <v>115</v>
      </c>
      <c r="J1255" s="120">
        <v>125</v>
      </c>
      <c r="K1255" s="120">
        <v>4</v>
      </c>
      <c r="L1255" s="120">
        <v>100</v>
      </c>
      <c r="M1255" s="120">
        <v>-9999</v>
      </c>
      <c r="N1255" s="120">
        <v>-9999</v>
      </c>
      <c r="O1255" s="120">
        <v>2</v>
      </c>
      <c r="P1255" s="120">
        <v>-9999</v>
      </c>
      <c r="Q1255" s="120">
        <v>367.5</v>
      </c>
      <c r="R1255" s="120">
        <v>290.10000610351602</v>
      </c>
      <c r="S1255" s="148">
        <v>15.199999809265099</v>
      </c>
      <c r="T1255" s="120">
        <v>-9999</v>
      </c>
      <c r="U1255" s="120">
        <v>15</v>
      </c>
      <c r="V1255" s="120">
        <v>-9999</v>
      </c>
      <c r="W1255" s="120">
        <v>-9999</v>
      </c>
      <c r="X1255" s="120">
        <v>-9999</v>
      </c>
      <c r="Y1255" s="120">
        <v>-9999</v>
      </c>
      <c r="Z1255" s="120">
        <v>-9999</v>
      </c>
      <c r="AA1255" s="120">
        <v>68</v>
      </c>
      <c r="AB1255" s="120">
        <v>14.5</v>
      </c>
      <c r="AC1255" s="120">
        <v>1254</v>
      </c>
      <c r="AD1255" s="120">
        <v>2526</v>
      </c>
      <c r="AE1255" s="120">
        <v>-9999</v>
      </c>
      <c r="AF1255" s="120">
        <v>-9999</v>
      </c>
      <c r="AG1255" s="120">
        <v>-9999</v>
      </c>
    </row>
    <row r="1256" spans="1:33" x14ac:dyDescent="0.25">
      <c r="A1256" s="120">
        <v>1255</v>
      </c>
      <c r="B1256" s="120" t="b">
        <v>0</v>
      </c>
      <c r="C1256" s="120">
        <v>0</v>
      </c>
      <c r="D1256" s="61">
        <v>5</v>
      </c>
      <c r="E1256" s="120">
        <v>1</v>
      </c>
      <c r="F1256" s="120" t="s">
        <v>182</v>
      </c>
      <c r="G1256" s="55">
        <v>350</v>
      </c>
      <c r="H1256" s="120">
        <v>1906</v>
      </c>
      <c r="I1256" s="57">
        <v>115</v>
      </c>
      <c r="J1256" s="120">
        <v>125</v>
      </c>
      <c r="K1256" s="120">
        <v>5</v>
      </c>
      <c r="L1256" s="120">
        <v>100</v>
      </c>
      <c r="M1256" s="120">
        <v>-9999</v>
      </c>
      <c r="N1256" s="120">
        <v>-9999</v>
      </c>
      <c r="O1256" s="120">
        <v>5</v>
      </c>
      <c r="P1256" s="120">
        <v>-9999</v>
      </c>
      <c r="Q1256" s="120">
        <v>367.5</v>
      </c>
      <c r="R1256" s="120">
        <v>290.10000610351602</v>
      </c>
      <c r="S1256" s="148">
        <v>15.199999809265099</v>
      </c>
      <c r="T1256" s="120">
        <v>-9999</v>
      </c>
      <c r="U1256" s="120">
        <v>15</v>
      </c>
      <c r="V1256" s="120">
        <v>-9999</v>
      </c>
      <c r="W1256" s="120">
        <v>-9999</v>
      </c>
      <c r="X1256" s="120">
        <v>-9999</v>
      </c>
      <c r="Y1256" s="120">
        <v>-9999</v>
      </c>
      <c r="Z1256" s="120">
        <v>-9999</v>
      </c>
      <c r="AA1256" s="120">
        <v>68</v>
      </c>
      <c r="AB1256" s="120">
        <v>14.5</v>
      </c>
      <c r="AC1256" s="120">
        <v>1255</v>
      </c>
      <c r="AD1256" s="120">
        <v>2527</v>
      </c>
      <c r="AE1256" s="120">
        <v>-9999</v>
      </c>
      <c r="AF1256" s="120">
        <v>-9999</v>
      </c>
      <c r="AG1256" s="120">
        <v>-9999</v>
      </c>
    </row>
    <row r="1257" spans="1:33" x14ac:dyDescent="0.25">
      <c r="A1257" s="120">
        <v>1256</v>
      </c>
      <c r="B1257" s="120" t="b">
        <v>0</v>
      </c>
      <c r="C1257" s="120">
        <v>0</v>
      </c>
      <c r="D1257" s="61">
        <v>5</v>
      </c>
      <c r="E1257" s="120">
        <v>1</v>
      </c>
      <c r="F1257" s="120" t="s">
        <v>182</v>
      </c>
      <c r="G1257" s="55">
        <v>350</v>
      </c>
      <c r="H1257" s="120">
        <v>1841</v>
      </c>
      <c r="I1257" s="57">
        <v>125</v>
      </c>
      <c r="J1257" s="120">
        <v>135</v>
      </c>
      <c r="K1257" s="120">
        <v>4</v>
      </c>
      <c r="L1257" s="120">
        <v>100</v>
      </c>
      <c r="M1257" s="120">
        <v>-9999</v>
      </c>
      <c r="N1257" s="120">
        <v>-9999</v>
      </c>
      <c r="O1257" s="120">
        <v>2</v>
      </c>
      <c r="P1257" s="120">
        <v>-9999</v>
      </c>
      <c r="Q1257" s="120">
        <v>367.5</v>
      </c>
      <c r="R1257" s="120">
        <v>290.10000610351602</v>
      </c>
      <c r="S1257" s="148">
        <v>15.800000190734901</v>
      </c>
      <c r="T1257" s="120">
        <v>-9999</v>
      </c>
      <c r="U1257" s="120">
        <v>15</v>
      </c>
      <c r="V1257" s="120">
        <v>-9999</v>
      </c>
      <c r="W1257" s="120">
        <v>-9999</v>
      </c>
      <c r="X1257" s="120">
        <v>-9999</v>
      </c>
      <c r="Y1257" s="120">
        <v>-9999</v>
      </c>
      <c r="Z1257" s="120">
        <v>-9999</v>
      </c>
      <c r="AA1257" s="120">
        <v>68</v>
      </c>
      <c r="AB1257" s="120">
        <v>14.5</v>
      </c>
      <c r="AC1257" s="120">
        <v>1256</v>
      </c>
      <c r="AD1257" s="120">
        <v>2528</v>
      </c>
      <c r="AE1257" s="120">
        <v>-9999</v>
      </c>
      <c r="AF1257" s="120">
        <v>-9999</v>
      </c>
      <c r="AG1257" s="120">
        <v>-9999</v>
      </c>
    </row>
    <row r="1258" spans="1:33" x14ac:dyDescent="0.25">
      <c r="A1258" s="120">
        <v>1257</v>
      </c>
      <c r="B1258" s="120" t="b">
        <v>0</v>
      </c>
      <c r="C1258" s="120">
        <v>0</v>
      </c>
      <c r="D1258" s="61">
        <v>5</v>
      </c>
      <c r="E1258" s="120">
        <v>1</v>
      </c>
      <c r="F1258" s="120" t="s">
        <v>182</v>
      </c>
      <c r="G1258" s="55">
        <v>350</v>
      </c>
      <c r="H1258" s="120">
        <v>1841</v>
      </c>
      <c r="I1258" s="57">
        <v>125</v>
      </c>
      <c r="J1258" s="120">
        <v>135</v>
      </c>
      <c r="K1258" s="120">
        <v>5</v>
      </c>
      <c r="L1258" s="120">
        <v>100</v>
      </c>
      <c r="M1258" s="120">
        <v>-9999</v>
      </c>
      <c r="N1258" s="120">
        <v>-9999</v>
      </c>
      <c r="O1258" s="120">
        <v>5</v>
      </c>
      <c r="P1258" s="120">
        <v>-9999</v>
      </c>
      <c r="Q1258" s="120">
        <v>367.5</v>
      </c>
      <c r="R1258" s="120">
        <v>290.10000610351602</v>
      </c>
      <c r="S1258" s="148">
        <v>15.800000190734901</v>
      </c>
      <c r="T1258" s="120">
        <v>-9999</v>
      </c>
      <c r="U1258" s="120">
        <v>15</v>
      </c>
      <c r="V1258" s="120">
        <v>-9999</v>
      </c>
      <c r="W1258" s="120">
        <v>-9999</v>
      </c>
      <c r="X1258" s="120">
        <v>-9999</v>
      </c>
      <c r="Y1258" s="120">
        <v>-9999</v>
      </c>
      <c r="Z1258" s="120">
        <v>-9999</v>
      </c>
      <c r="AA1258" s="120">
        <v>68</v>
      </c>
      <c r="AB1258" s="120">
        <v>14.5</v>
      </c>
      <c r="AC1258" s="120">
        <v>1257</v>
      </c>
      <c r="AD1258" s="120">
        <v>2529</v>
      </c>
      <c r="AE1258" s="120">
        <v>-9999</v>
      </c>
      <c r="AF1258" s="120">
        <v>-9999</v>
      </c>
      <c r="AG1258" s="120">
        <v>-9999</v>
      </c>
    </row>
    <row r="1259" spans="1:33" x14ac:dyDescent="0.25">
      <c r="A1259" s="120">
        <v>1258</v>
      </c>
      <c r="B1259" s="120" t="b">
        <v>0</v>
      </c>
      <c r="C1259" s="120">
        <v>0</v>
      </c>
      <c r="D1259" s="61">
        <v>5</v>
      </c>
      <c r="E1259" s="120">
        <v>1</v>
      </c>
      <c r="F1259" s="120" t="s">
        <v>183</v>
      </c>
      <c r="G1259" s="55">
        <v>400</v>
      </c>
      <c r="H1259" s="120">
        <v>2510</v>
      </c>
      <c r="I1259" s="57">
        <v>80</v>
      </c>
      <c r="J1259" s="120">
        <v>90</v>
      </c>
      <c r="K1259" s="120">
        <v>4</v>
      </c>
      <c r="L1259" s="120">
        <v>100</v>
      </c>
      <c r="M1259" s="120">
        <v>-9999</v>
      </c>
      <c r="N1259" s="120">
        <v>-9999</v>
      </c>
      <c r="O1259" s="120">
        <v>2</v>
      </c>
      <c r="P1259" s="120">
        <v>-9999</v>
      </c>
      <c r="Q1259" s="120">
        <v>420</v>
      </c>
      <c r="R1259" s="120">
        <v>331.60000610351602</v>
      </c>
      <c r="S1259" s="148">
        <v>13.199999809265099</v>
      </c>
      <c r="T1259" s="120">
        <v>-9999</v>
      </c>
      <c r="U1259" s="120">
        <v>15</v>
      </c>
      <c r="V1259" s="120">
        <v>-9999</v>
      </c>
      <c r="W1259" s="120">
        <v>-9999</v>
      </c>
      <c r="X1259" s="120">
        <v>-9999</v>
      </c>
      <c r="Y1259" s="120">
        <v>-9999</v>
      </c>
      <c r="Z1259" s="120">
        <v>-9999</v>
      </c>
      <c r="AA1259" s="120">
        <v>68</v>
      </c>
      <c r="AB1259" s="120">
        <v>14.5</v>
      </c>
      <c r="AC1259" s="120">
        <v>1258</v>
      </c>
      <c r="AD1259" s="120">
        <v>2530</v>
      </c>
      <c r="AE1259" s="120">
        <v>-9999</v>
      </c>
      <c r="AF1259" s="120">
        <v>-9999</v>
      </c>
      <c r="AG1259" s="120">
        <v>-9999</v>
      </c>
    </row>
    <row r="1260" spans="1:33" x14ac:dyDescent="0.25">
      <c r="A1260" s="120">
        <v>1259</v>
      </c>
      <c r="B1260" s="120" t="b">
        <v>0</v>
      </c>
      <c r="C1260" s="120">
        <v>0</v>
      </c>
      <c r="D1260" s="61">
        <v>5</v>
      </c>
      <c r="E1260" s="120">
        <v>1</v>
      </c>
      <c r="F1260" s="120" t="s">
        <v>183</v>
      </c>
      <c r="G1260" s="55">
        <v>400</v>
      </c>
      <c r="H1260" s="120">
        <v>2510</v>
      </c>
      <c r="I1260" s="57">
        <v>80</v>
      </c>
      <c r="J1260" s="120">
        <v>90</v>
      </c>
      <c r="K1260" s="120">
        <v>5</v>
      </c>
      <c r="L1260" s="120">
        <v>100</v>
      </c>
      <c r="M1260" s="120">
        <v>-9999</v>
      </c>
      <c r="N1260" s="120">
        <v>-9999</v>
      </c>
      <c r="O1260" s="120">
        <v>5</v>
      </c>
      <c r="P1260" s="120">
        <v>-9999</v>
      </c>
      <c r="Q1260" s="120">
        <v>420</v>
      </c>
      <c r="R1260" s="120">
        <v>331.60000610351602</v>
      </c>
      <c r="S1260" s="148">
        <v>13.199999809265099</v>
      </c>
      <c r="T1260" s="120">
        <v>-9999</v>
      </c>
      <c r="U1260" s="120">
        <v>15</v>
      </c>
      <c r="V1260" s="120">
        <v>-9999</v>
      </c>
      <c r="W1260" s="120">
        <v>-9999</v>
      </c>
      <c r="X1260" s="120">
        <v>-9999</v>
      </c>
      <c r="Y1260" s="120">
        <v>-9999</v>
      </c>
      <c r="Z1260" s="120">
        <v>-9999</v>
      </c>
      <c r="AA1260" s="120">
        <v>68</v>
      </c>
      <c r="AB1260" s="120">
        <v>14.5</v>
      </c>
      <c r="AC1260" s="120">
        <v>1259</v>
      </c>
      <c r="AD1260" s="120">
        <v>2531</v>
      </c>
      <c r="AE1260" s="120">
        <v>-9999</v>
      </c>
      <c r="AF1260" s="120">
        <v>-9999</v>
      </c>
      <c r="AG1260" s="120">
        <v>-9999</v>
      </c>
    </row>
    <row r="1261" spans="1:33" x14ac:dyDescent="0.25">
      <c r="A1261" s="120">
        <v>1260</v>
      </c>
      <c r="B1261" s="120" t="b">
        <v>0</v>
      </c>
      <c r="C1261" s="120">
        <v>0</v>
      </c>
      <c r="D1261" s="61">
        <v>5</v>
      </c>
      <c r="E1261" s="120">
        <v>1</v>
      </c>
      <c r="F1261" s="120" t="s">
        <v>183</v>
      </c>
      <c r="G1261" s="55">
        <v>400</v>
      </c>
      <c r="H1261" s="120">
        <v>2293</v>
      </c>
      <c r="I1261" s="57">
        <v>100</v>
      </c>
      <c r="J1261" s="120">
        <v>110</v>
      </c>
      <c r="K1261" s="120">
        <v>4</v>
      </c>
      <c r="L1261" s="120">
        <v>100</v>
      </c>
      <c r="M1261" s="120">
        <v>-9999</v>
      </c>
      <c r="N1261" s="120">
        <v>-9999</v>
      </c>
      <c r="O1261" s="120">
        <v>2</v>
      </c>
      <c r="P1261" s="120">
        <v>-9999</v>
      </c>
      <c r="Q1261" s="120">
        <v>420</v>
      </c>
      <c r="R1261" s="120">
        <v>331.60000610351602</v>
      </c>
      <c r="S1261" s="148">
        <v>14.5</v>
      </c>
      <c r="T1261" s="120">
        <v>-9999</v>
      </c>
      <c r="U1261" s="120">
        <v>15</v>
      </c>
      <c r="V1261" s="120">
        <v>-9999</v>
      </c>
      <c r="W1261" s="120">
        <v>-9999</v>
      </c>
      <c r="X1261" s="120">
        <v>-9999</v>
      </c>
      <c r="Y1261" s="120">
        <v>-9999</v>
      </c>
      <c r="Z1261" s="120">
        <v>-9999</v>
      </c>
      <c r="AA1261" s="120">
        <v>68</v>
      </c>
      <c r="AB1261" s="120">
        <v>14.5</v>
      </c>
      <c r="AC1261" s="120">
        <v>1260</v>
      </c>
      <c r="AD1261" s="120">
        <v>2532</v>
      </c>
      <c r="AE1261" s="120">
        <v>-9999</v>
      </c>
      <c r="AF1261" s="120">
        <v>-9999</v>
      </c>
      <c r="AG1261" s="120">
        <v>-9999</v>
      </c>
    </row>
    <row r="1262" spans="1:33" x14ac:dyDescent="0.25">
      <c r="A1262" s="120">
        <v>1261</v>
      </c>
      <c r="B1262" s="120" t="b">
        <v>0</v>
      </c>
      <c r="C1262" s="120">
        <v>0</v>
      </c>
      <c r="D1262" s="61">
        <v>5</v>
      </c>
      <c r="E1262" s="120">
        <v>1</v>
      </c>
      <c r="F1262" s="120" t="s">
        <v>183</v>
      </c>
      <c r="G1262" s="55">
        <v>400</v>
      </c>
      <c r="H1262" s="120">
        <v>2293</v>
      </c>
      <c r="I1262" s="57">
        <v>100</v>
      </c>
      <c r="J1262" s="120">
        <v>110</v>
      </c>
      <c r="K1262" s="120">
        <v>5</v>
      </c>
      <c r="L1262" s="120">
        <v>100</v>
      </c>
      <c r="M1262" s="120">
        <v>-9999</v>
      </c>
      <c r="N1262" s="120">
        <v>-9999</v>
      </c>
      <c r="O1262" s="120">
        <v>5</v>
      </c>
      <c r="P1262" s="120">
        <v>-9999</v>
      </c>
      <c r="Q1262" s="120">
        <v>420</v>
      </c>
      <c r="R1262" s="120">
        <v>331.60000610351602</v>
      </c>
      <c r="S1262" s="148">
        <v>14.5</v>
      </c>
      <c r="T1262" s="120">
        <v>-9999</v>
      </c>
      <c r="U1262" s="120">
        <v>15</v>
      </c>
      <c r="V1262" s="120">
        <v>-9999</v>
      </c>
      <c r="W1262" s="120">
        <v>-9999</v>
      </c>
      <c r="X1262" s="120">
        <v>-9999</v>
      </c>
      <c r="Y1262" s="120">
        <v>-9999</v>
      </c>
      <c r="Z1262" s="120">
        <v>-9999</v>
      </c>
      <c r="AA1262" s="120">
        <v>68</v>
      </c>
      <c r="AB1262" s="120">
        <v>14.5</v>
      </c>
      <c r="AC1262" s="120">
        <v>1261</v>
      </c>
      <c r="AD1262" s="120">
        <v>2533</v>
      </c>
      <c r="AE1262" s="120">
        <v>-9999</v>
      </c>
      <c r="AF1262" s="120">
        <v>-9999</v>
      </c>
      <c r="AG1262" s="120">
        <v>-9999</v>
      </c>
    </row>
    <row r="1263" spans="1:33" x14ac:dyDescent="0.25">
      <c r="A1263" s="120">
        <v>1262</v>
      </c>
      <c r="B1263" s="120" t="b">
        <v>0</v>
      </c>
      <c r="C1263" s="120">
        <v>0</v>
      </c>
      <c r="D1263" s="61">
        <v>5</v>
      </c>
      <c r="E1263" s="120">
        <v>1</v>
      </c>
      <c r="F1263" s="120" t="s">
        <v>183</v>
      </c>
      <c r="G1263" s="55">
        <v>400</v>
      </c>
      <c r="H1263" s="120">
        <v>2207</v>
      </c>
      <c r="I1263" s="57">
        <v>110</v>
      </c>
      <c r="J1263" s="120">
        <v>120</v>
      </c>
      <c r="K1263" s="120">
        <v>4</v>
      </c>
      <c r="L1263" s="120">
        <v>100</v>
      </c>
      <c r="M1263" s="120">
        <v>-9999</v>
      </c>
      <c r="N1263" s="120">
        <v>-9999</v>
      </c>
      <c r="O1263" s="120">
        <v>2</v>
      </c>
      <c r="P1263" s="120">
        <v>-9999</v>
      </c>
      <c r="Q1263" s="120">
        <v>420</v>
      </c>
      <c r="R1263" s="120">
        <v>331.60000610351602</v>
      </c>
      <c r="S1263" s="148">
        <v>15</v>
      </c>
      <c r="T1263" s="120">
        <v>-9999</v>
      </c>
      <c r="U1263" s="120">
        <v>15</v>
      </c>
      <c r="V1263" s="120">
        <v>-9999</v>
      </c>
      <c r="W1263" s="120">
        <v>-9999</v>
      </c>
      <c r="X1263" s="120">
        <v>-9999</v>
      </c>
      <c r="Y1263" s="120">
        <v>-9999</v>
      </c>
      <c r="Z1263" s="120">
        <v>-9999</v>
      </c>
      <c r="AA1263" s="120">
        <v>68</v>
      </c>
      <c r="AB1263" s="120">
        <v>14.5</v>
      </c>
      <c r="AC1263" s="120">
        <v>1262</v>
      </c>
      <c r="AD1263" s="120">
        <v>2534</v>
      </c>
      <c r="AE1263" s="120">
        <v>-9999</v>
      </c>
      <c r="AF1263" s="120">
        <v>-9999</v>
      </c>
      <c r="AG1263" s="120">
        <v>-9999</v>
      </c>
    </row>
    <row r="1264" spans="1:33" x14ac:dyDescent="0.25">
      <c r="A1264" s="120">
        <v>1263</v>
      </c>
      <c r="B1264" s="120" t="b">
        <v>0</v>
      </c>
      <c r="C1264" s="120">
        <v>0</v>
      </c>
      <c r="D1264" s="61">
        <v>5</v>
      </c>
      <c r="E1264" s="120">
        <v>1</v>
      </c>
      <c r="F1264" s="120" t="s">
        <v>183</v>
      </c>
      <c r="G1264" s="55">
        <v>400</v>
      </c>
      <c r="H1264" s="120">
        <v>2207</v>
      </c>
      <c r="I1264" s="57">
        <v>110</v>
      </c>
      <c r="J1264" s="120">
        <v>120</v>
      </c>
      <c r="K1264" s="120">
        <v>5</v>
      </c>
      <c r="L1264" s="120">
        <v>100</v>
      </c>
      <c r="M1264" s="120">
        <v>-9999</v>
      </c>
      <c r="N1264" s="120">
        <v>-9999</v>
      </c>
      <c r="O1264" s="120">
        <v>5</v>
      </c>
      <c r="P1264" s="120">
        <v>-9999</v>
      </c>
      <c r="Q1264" s="120">
        <v>420</v>
      </c>
      <c r="R1264" s="120">
        <v>331.60000610351602</v>
      </c>
      <c r="S1264" s="148">
        <v>15</v>
      </c>
      <c r="T1264" s="120">
        <v>-9999</v>
      </c>
      <c r="U1264" s="120">
        <v>15</v>
      </c>
      <c r="V1264" s="120">
        <v>-9999</v>
      </c>
      <c r="W1264" s="120">
        <v>-9999</v>
      </c>
      <c r="X1264" s="120">
        <v>-9999</v>
      </c>
      <c r="Y1264" s="120">
        <v>-9999</v>
      </c>
      <c r="Z1264" s="120">
        <v>-9999</v>
      </c>
      <c r="AA1264" s="120">
        <v>68</v>
      </c>
      <c r="AB1264" s="120">
        <v>14.5</v>
      </c>
      <c r="AC1264" s="120">
        <v>1263</v>
      </c>
      <c r="AD1264" s="120">
        <v>2535</v>
      </c>
      <c r="AE1264" s="120">
        <v>-9999</v>
      </c>
      <c r="AF1264" s="120">
        <v>-9999</v>
      </c>
      <c r="AG1264" s="120">
        <v>-9999</v>
      </c>
    </row>
    <row r="1265" spans="1:33" x14ac:dyDescent="0.25">
      <c r="A1265" s="120">
        <v>1264</v>
      </c>
      <c r="B1265" s="120" t="b">
        <v>0</v>
      </c>
      <c r="C1265" s="120">
        <v>0</v>
      </c>
      <c r="D1265" s="61">
        <v>5</v>
      </c>
      <c r="E1265" s="120">
        <v>1</v>
      </c>
      <c r="F1265" s="120" t="s">
        <v>183</v>
      </c>
      <c r="G1265" s="55">
        <v>400</v>
      </c>
      <c r="H1265" s="120">
        <v>2167</v>
      </c>
      <c r="I1265" s="57">
        <v>115</v>
      </c>
      <c r="J1265" s="120">
        <v>125</v>
      </c>
      <c r="K1265" s="120">
        <v>4</v>
      </c>
      <c r="L1265" s="120">
        <v>100</v>
      </c>
      <c r="M1265" s="120">
        <v>-9999</v>
      </c>
      <c r="N1265" s="120">
        <v>-9999</v>
      </c>
      <c r="O1265" s="120">
        <v>2</v>
      </c>
      <c r="P1265" s="120">
        <v>-9999</v>
      </c>
      <c r="Q1265" s="120">
        <v>420</v>
      </c>
      <c r="R1265" s="120">
        <v>331.60000610351602</v>
      </c>
      <c r="S1265" s="148">
        <v>15.300000190734901</v>
      </c>
      <c r="T1265" s="120">
        <v>-9999</v>
      </c>
      <c r="U1265" s="120">
        <v>15</v>
      </c>
      <c r="V1265" s="120">
        <v>-9999</v>
      </c>
      <c r="W1265" s="120">
        <v>-9999</v>
      </c>
      <c r="X1265" s="120">
        <v>-9999</v>
      </c>
      <c r="Y1265" s="120">
        <v>-9999</v>
      </c>
      <c r="Z1265" s="120">
        <v>-9999</v>
      </c>
      <c r="AA1265" s="120">
        <v>68</v>
      </c>
      <c r="AB1265" s="120">
        <v>14.5</v>
      </c>
      <c r="AC1265" s="120">
        <v>1264</v>
      </c>
      <c r="AD1265" s="120">
        <v>2536</v>
      </c>
      <c r="AE1265" s="120">
        <v>-9999</v>
      </c>
      <c r="AF1265" s="120">
        <v>-9999</v>
      </c>
      <c r="AG1265" s="120">
        <v>-9999</v>
      </c>
    </row>
    <row r="1266" spans="1:33" x14ac:dyDescent="0.25">
      <c r="A1266" s="120">
        <v>1265</v>
      </c>
      <c r="B1266" s="120" t="b">
        <v>0</v>
      </c>
      <c r="C1266" s="120">
        <v>0</v>
      </c>
      <c r="D1266" s="61">
        <v>5</v>
      </c>
      <c r="E1266" s="120">
        <v>1</v>
      </c>
      <c r="F1266" s="120" t="s">
        <v>183</v>
      </c>
      <c r="G1266" s="55">
        <v>400</v>
      </c>
      <c r="H1266" s="120">
        <v>2167</v>
      </c>
      <c r="I1266" s="57">
        <v>115</v>
      </c>
      <c r="J1266" s="120">
        <v>125</v>
      </c>
      <c r="K1266" s="120">
        <v>5</v>
      </c>
      <c r="L1266" s="120">
        <v>100</v>
      </c>
      <c r="M1266" s="120">
        <v>-9999</v>
      </c>
      <c r="N1266" s="120">
        <v>-9999</v>
      </c>
      <c r="O1266" s="120">
        <v>5</v>
      </c>
      <c r="P1266" s="120">
        <v>-9999</v>
      </c>
      <c r="Q1266" s="120">
        <v>420</v>
      </c>
      <c r="R1266" s="120">
        <v>331.60000610351602</v>
      </c>
      <c r="S1266" s="148">
        <v>15.300000190734901</v>
      </c>
      <c r="T1266" s="120">
        <v>-9999</v>
      </c>
      <c r="U1266" s="120">
        <v>15</v>
      </c>
      <c r="V1266" s="120">
        <v>-9999</v>
      </c>
      <c r="W1266" s="120">
        <v>-9999</v>
      </c>
      <c r="X1266" s="120">
        <v>-9999</v>
      </c>
      <c r="Y1266" s="120">
        <v>-9999</v>
      </c>
      <c r="Z1266" s="120">
        <v>-9999</v>
      </c>
      <c r="AA1266" s="120">
        <v>68</v>
      </c>
      <c r="AB1266" s="120">
        <v>14.5</v>
      </c>
      <c r="AC1266" s="120">
        <v>1265</v>
      </c>
      <c r="AD1266" s="120">
        <v>2537</v>
      </c>
      <c r="AE1266" s="120">
        <v>-9999</v>
      </c>
      <c r="AF1266" s="120">
        <v>-9999</v>
      </c>
      <c r="AG1266" s="120">
        <v>-9999</v>
      </c>
    </row>
    <row r="1267" spans="1:33" x14ac:dyDescent="0.25">
      <c r="A1267" s="120">
        <v>1266</v>
      </c>
      <c r="B1267" s="120" t="b">
        <v>0</v>
      </c>
      <c r="C1267" s="120">
        <v>0</v>
      </c>
      <c r="D1267" s="61">
        <v>5</v>
      </c>
      <c r="E1267" s="120">
        <v>1</v>
      </c>
      <c r="F1267" s="120" t="s">
        <v>183</v>
      </c>
      <c r="G1267" s="55">
        <v>400</v>
      </c>
      <c r="H1267" s="120">
        <v>2097</v>
      </c>
      <c r="I1267" s="57">
        <v>125</v>
      </c>
      <c r="J1267" s="120">
        <v>135</v>
      </c>
      <c r="K1267" s="120">
        <v>4</v>
      </c>
      <c r="L1267" s="120">
        <v>100</v>
      </c>
      <c r="M1267" s="120">
        <v>-9999</v>
      </c>
      <c r="N1267" s="120">
        <v>-9999</v>
      </c>
      <c r="O1267" s="120">
        <v>2</v>
      </c>
      <c r="P1267" s="120">
        <v>-9999</v>
      </c>
      <c r="Q1267" s="120">
        <v>420</v>
      </c>
      <c r="R1267" s="120">
        <v>331.60000610351602</v>
      </c>
      <c r="S1267" s="148">
        <v>15.800000190734901</v>
      </c>
      <c r="T1267" s="120">
        <v>-9999</v>
      </c>
      <c r="U1267" s="120">
        <v>15</v>
      </c>
      <c r="V1267" s="120">
        <v>-9999</v>
      </c>
      <c r="W1267" s="120">
        <v>-9999</v>
      </c>
      <c r="X1267" s="120">
        <v>-9999</v>
      </c>
      <c r="Y1267" s="120">
        <v>-9999</v>
      </c>
      <c r="Z1267" s="120">
        <v>-9999</v>
      </c>
      <c r="AA1267" s="120">
        <v>68</v>
      </c>
      <c r="AB1267" s="120">
        <v>14.5</v>
      </c>
      <c r="AC1267" s="120">
        <v>1266</v>
      </c>
      <c r="AD1267" s="120">
        <v>2538</v>
      </c>
      <c r="AE1267" s="120">
        <v>-9999</v>
      </c>
      <c r="AF1267" s="120">
        <v>-9999</v>
      </c>
      <c r="AG1267" s="120">
        <v>-9999</v>
      </c>
    </row>
    <row r="1268" spans="1:33" x14ac:dyDescent="0.25">
      <c r="A1268" s="120">
        <v>1267</v>
      </c>
      <c r="B1268" s="120" t="b">
        <v>0</v>
      </c>
      <c r="C1268" s="120">
        <v>0</v>
      </c>
      <c r="D1268" s="61">
        <v>5</v>
      </c>
      <c r="E1268" s="120">
        <v>1</v>
      </c>
      <c r="F1268" s="120" t="s">
        <v>183</v>
      </c>
      <c r="G1268" s="55">
        <v>400</v>
      </c>
      <c r="H1268" s="120">
        <v>2097</v>
      </c>
      <c r="I1268" s="57">
        <v>125</v>
      </c>
      <c r="J1268" s="120">
        <v>135</v>
      </c>
      <c r="K1268" s="120">
        <v>5</v>
      </c>
      <c r="L1268" s="120">
        <v>100</v>
      </c>
      <c r="M1268" s="120">
        <v>-9999</v>
      </c>
      <c r="N1268" s="120">
        <v>-9999</v>
      </c>
      <c r="O1268" s="120">
        <v>5</v>
      </c>
      <c r="P1268" s="120">
        <v>-9999</v>
      </c>
      <c r="Q1268" s="120">
        <v>420</v>
      </c>
      <c r="R1268" s="120">
        <v>331.60000610351602</v>
      </c>
      <c r="S1268" s="148">
        <v>15.800000190734901</v>
      </c>
      <c r="T1268" s="120">
        <v>-9999</v>
      </c>
      <c r="U1268" s="120">
        <v>15</v>
      </c>
      <c r="V1268" s="120">
        <v>-9999</v>
      </c>
      <c r="W1268" s="120">
        <v>-9999</v>
      </c>
      <c r="X1268" s="120">
        <v>-9999</v>
      </c>
      <c r="Y1268" s="120">
        <v>-9999</v>
      </c>
      <c r="Z1268" s="120">
        <v>-9999</v>
      </c>
      <c r="AA1268" s="120">
        <v>68</v>
      </c>
      <c r="AB1268" s="120">
        <v>14.5</v>
      </c>
      <c r="AC1268" s="120">
        <v>1267</v>
      </c>
      <c r="AD1268" s="120">
        <v>2539</v>
      </c>
      <c r="AE1268" s="120">
        <v>-9999</v>
      </c>
      <c r="AF1268" s="120">
        <v>-9999</v>
      </c>
      <c r="AG1268" s="120">
        <v>-9999</v>
      </c>
    </row>
    <row r="1269" spans="1:33" x14ac:dyDescent="0.25">
      <c r="A1269" s="120">
        <v>1273</v>
      </c>
      <c r="B1269" s="120" t="b">
        <v>1</v>
      </c>
      <c r="C1269" s="120">
        <v>0</v>
      </c>
      <c r="D1269" s="61">
        <v>5</v>
      </c>
      <c r="E1269" s="120">
        <v>16</v>
      </c>
      <c r="F1269" s="120" t="s">
        <v>187</v>
      </c>
      <c r="G1269" s="55">
        <v>900</v>
      </c>
      <c r="H1269" s="120">
        <v>4111</v>
      </c>
      <c r="I1269" s="57">
        <v>125</v>
      </c>
      <c r="J1269" s="120">
        <v>127</v>
      </c>
      <c r="K1269" s="120">
        <v>5</v>
      </c>
      <c r="L1269" s="120">
        <v>100</v>
      </c>
      <c r="M1269" s="120">
        <v>-9999</v>
      </c>
      <c r="N1269" s="120">
        <v>-9999</v>
      </c>
      <c r="O1269" s="120">
        <v>5</v>
      </c>
      <c r="P1269" s="120">
        <v>-9999</v>
      </c>
      <c r="Q1269" s="120">
        <v>851</v>
      </c>
      <c r="R1269" s="120">
        <v>668</v>
      </c>
      <c r="S1269" s="148">
        <v>16.299999237060501</v>
      </c>
      <c r="T1269" s="120">
        <v>-9999</v>
      </c>
      <c r="U1269" s="120">
        <v>8</v>
      </c>
      <c r="V1269" s="120">
        <v>-9999</v>
      </c>
      <c r="W1269" s="120">
        <v>-9999</v>
      </c>
      <c r="X1269" s="120">
        <v>-9999</v>
      </c>
      <c r="Y1269" s="120">
        <v>-9999</v>
      </c>
      <c r="Z1269" s="120">
        <v>-9999</v>
      </c>
      <c r="AA1269" s="120">
        <v>68</v>
      </c>
      <c r="AB1269" s="120">
        <v>14.5</v>
      </c>
      <c r="AC1269" s="120">
        <v>2545</v>
      </c>
      <c r="AD1269" s="120">
        <v>2546</v>
      </c>
      <c r="AE1269" s="120">
        <v>-9999</v>
      </c>
      <c r="AF1269" s="120">
        <v>-9999</v>
      </c>
      <c r="AG1269" s="120">
        <v>-9999</v>
      </c>
    </row>
    <row r="1270" spans="1:33" x14ac:dyDescent="0.25">
      <c r="A1270" s="120">
        <v>1268</v>
      </c>
      <c r="B1270" s="120" t="b">
        <v>0</v>
      </c>
      <c r="C1270" s="120">
        <v>0</v>
      </c>
      <c r="D1270" s="61">
        <v>6</v>
      </c>
      <c r="E1270" s="120">
        <v>1</v>
      </c>
      <c r="F1270" s="120" t="s">
        <v>188</v>
      </c>
      <c r="G1270" s="55">
        <v>600</v>
      </c>
      <c r="H1270" s="120">
        <v>3138</v>
      </c>
      <c r="I1270" s="57">
        <v>100</v>
      </c>
      <c r="J1270" s="120">
        <v>110</v>
      </c>
      <c r="K1270" s="120">
        <v>4</v>
      </c>
      <c r="L1270" s="120">
        <v>100</v>
      </c>
      <c r="M1270" s="120">
        <v>-9999</v>
      </c>
      <c r="N1270" s="120">
        <v>-9999</v>
      </c>
      <c r="O1270" s="120">
        <v>2</v>
      </c>
      <c r="P1270" s="120">
        <v>-9999</v>
      </c>
      <c r="Q1270" s="120">
        <v>573</v>
      </c>
      <c r="R1270" s="120">
        <v>452.29998779296898</v>
      </c>
      <c r="S1270" s="148">
        <v>14.3999996185303</v>
      </c>
      <c r="T1270" s="120">
        <v>-9999</v>
      </c>
      <c r="U1270" s="120">
        <v>15</v>
      </c>
      <c r="V1270" s="120">
        <v>117</v>
      </c>
      <c r="W1270" s="120">
        <v>2885</v>
      </c>
      <c r="X1270" s="120">
        <v>91</v>
      </c>
      <c r="Y1270" s="120">
        <v>3200</v>
      </c>
      <c r="Z1270" s="120">
        <v>2510.39990234375</v>
      </c>
      <c r="AA1270" s="120">
        <v>90</v>
      </c>
      <c r="AB1270" s="120">
        <v>14.3999996185303</v>
      </c>
      <c r="AC1270" s="120">
        <v>1268</v>
      </c>
      <c r="AD1270" s="120">
        <v>2540</v>
      </c>
      <c r="AE1270" s="120">
        <v>1026.44995117188</v>
      </c>
      <c r="AF1270" s="120">
        <v>52.402050018310497</v>
      </c>
      <c r="AG1270" s="120">
        <v>-0.31286549568176297</v>
      </c>
    </row>
    <row r="1271" spans="1:33" x14ac:dyDescent="0.25">
      <c r="A1271" s="120">
        <v>1269</v>
      </c>
      <c r="B1271" s="120" t="b">
        <v>0</v>
      </c>
      <c r="C1271" s="120">
        <v>0</v>
      </c>
      <c r="D1271" s="61">
        <v>6</v>
      </c>
      <c r="E1271" s="120">
        <v>1</v>
      </c>
      <c r="F1271" s="120" t="s">
        <v>188</v>
      </c>
      <c r="G1271" s="55">
        <v>600</v>
      </c>
      <c r="H1271" s="120">
        <v>3138</v>
      </c>
      <c r="I1271" s="57">
        <v>100</v>
      </c>
      <c r="J1271" s="120">
        <v>100</v>
      </c>
      <c r="K1271" s="120">
        <v>7</v>
      </c>
      <c r="L1271" s="120">
        <v>80</v>
      </c>
      <c r="M1271" s="120">
        <v>-9999</v>
      </c>
      <c r="N1271" s="120">
        <v>-9999</v>
      </c>
      <c r="O1271" s="120">
        <v>2</v>
      </c>
      <c r="P1271" s="120">
        <v>1</v>
      </c>
      <c r="Q1271" s="120">
        <v>573</v>
      </c>
      <c r="R1271" s="120">
        <v>452.29998779296898</v>
      </c>
      <c r="S1271" s="148">
        <v>14.3999996185303</v>
      </c>
      <c r="T1271" s="120">
        <v>10</v>
      </c>
      <c r="U1271" s="120">
        <v>15</v>
      </c>
      <c r="V1271" s="120">
        <v>117</v>
      </c>
      <c r="W1271" s="120">
        <v>2885</v>
      </c>
      <c r="X1271" s="120">
        <v>91</v>
      </c>
      <c r="Y1271" s="120">
        <v>3200</v>
      </c>
      <c r="Z1271" s="120">
        <v>2510.39990234375</v>
      </c>
      <c r="AA1271" s="120">
        <v>90</v>
      </c>
      <c r="AB1271" s="120">
        <v>14.3999996185303</v>
      </c>
      <c r="AC1271" s="120">
        <v>1269</v>
      </c>
      <c r="AD1271" s="120">
        <v>2541</v>
      </c>
      <c r="AE1271" s="120">
        <v>1026.44995117188</v>
      </c>
      <c r="AF1271" s="120">
        <v>52.402050018310497</v>
      </c>
      <c r="AG1271" s="120">
        <v>-0.31286549568176297</v>
      </c>
    </row>
    <row r="1272" spans="1:33" x14ac:dyDescent="0.25">
      <c r="A1272" s="120">
        <v>1270</v>
      </c>
      <c r="B1272" s="120" t="b">
        <v>0</v>
      </c>
      <c r="C1272" s="120">
        <v>0</v>
      </c>
      <c r="D1272" s="61">
        <v>6</v>
      </c>
      <c r="E1272" s="120">
        <v>1</v>
      </c>
      <c r="F1272" s="120" t="s">
        <v>188</v>
      </c>
      <c r="G1272" s="55">
        <v>600</v>
      </c>
      <c r="H1272" s="120">
        <v>3138</v>
      </c>
      <c r="I1272" s="57">
        <v>100</v>
      </c>
      <c r="J1272" s="120">
        <v>110</v>
      </c>
      <c r="K1272" s="120">
        <v>8</v>
      </c>
      <c r="L1272" s="120">
        <v>80</v>
      </c>
      <c r="M1272" s="120">
        <v>-9999</v>
      </c>
      <c r="N1272" s="120">
        <v>-9999</v>
      </c>
      <c r="O1272" s="120">
        <v>2</v>
      </c>
      <c r="P1272" s="120">
        <v>1</v>
      </c>
      <c r="Q1272" s="120">
        <v>573</v>
      </c>
      <c r="R1272" s="120">
        <v>452.29998779296898</v>
      </c>
      <c r="S1272" s="148">
        <v>14.3999996185303</v>
      </c>
      <c r="T1272" s="120">
        <v>10</v>
      </c>
      <c r="U1272" s="120">
        <v>15</v>
      </c>
      <c r="V1272" s="120">
        <v>117</v>
      </c>
      <c r="W1272" s="120">
        <v>2885</v>
      </c>
      <c r="X1272" s="120">
        <v>91</v>
      </c>
      <c r="Y1272" s="120">
        <v>3200</v>
      </c>
      <c r="Z1272" s="120">
        <v>2510.39990234375</v>
      </c>
      <c r="AA1272" s="120">
        <v>90</v>
      </c>
      <c r="AB1272" s="120">
        <v>14.3999996185303</v>
      </c>
      <c r="AC1272" s="120">
        <v>1270</v>
      </c>
      <c r="AD1272" s="120">
        <v>2542</v>
      </c>
      <c r="AE1272" s="120">
        <v>1026.44995117188</v>
      </c>
      <c r="AF1272" s="120">
        <v>52.402050018310497</v>
      </c>
      <c r="AG1272" s="120">
        <v>-0.31286549568176297</v>
      </c>
    </row>
    <row r="1273" spans="1:33" x14ac:dyDescent="0.25">
      <c r="A1273" s="120">
        <v>1271</v>
      </c>
      <c r="B1273" s="120" t="b">
        <v>0</v>
      </c>
      <c r="C1273" s="120">
        <v>0</v>
      </c>
      <c r="D1273" s="61">
        <v>6</v>
      </c>
      <c r="E1273" s="120">
        <v>1</v>
      </c>
      <c r="F1273" s="120" t="s">
        <v>188</v>
      </c>
      <c r="G1273" s="55">
        <v>600</v>
      </c>
      <c r="H1273" s="120">
        <v>3138</v>
      </c>
      <c r="I1273" s="57">
        <v>100</v>
      </c>
      <c r="J1273" s="120">
        <v>100</v>
      </c>
      <c r="K1273" s="120">
        <v>9</v>
      </c>
      <c r="L1273" s="120">
        <v>80</v>
      </c>
      <c r="M1273" s="120">
        <v>-9999</v>
      </c>
      <c r="N1273" s="120">
        <v>-9999</v>
      </c>
      <c r="O1273" s="120">
        <v>2</v>
      </c>
      <c r="P1273" s="120">
        <v>1</v>
      </c>
      <c r="Q1273" s="120">
        <v>573</v>
      </c>
      <c r="R1273" s="120">
        <v>452.29998779296898</v>
      </c>
      <c r="S1273" s="148">
        <v>14.3999996185303</v>
      </c>
      <c r="T1273" s="120">
        <v>2</v>
      </c>
      <c r="U1273" s="120">
        <v>15</v>
      </c>
      <c r="V1273" s="120">
        <v>117</v>
      </c>
      <c r="W1273" s="120">
        <v>2885</v>
      </c>
      <c r="X1273" s="120">
        <v>91</v>
      </c>
      <c r="Y1273" s="120">
        <v>3200</v>
      </c>
      <c r="Z1273" s="120">
        <v>2510.39990234375</v>
      </c>
      <c r="AA1273" s="120">
        <v>90</v>
      </c>
      <c r="AB1273" s="120">
        <v>14.3999996185303</v>
      </c>
      <c r="AC1273" s="120">
        <v>1271</v>
      </c>
      <c r="AD1273" s="120">
        <v>2543</v>
      </c>
      <c r="AE1273" s="120">
        <v>1026.44995117188</v>
      </c>
      <c r="AF1273" s="120">
        <v>52.402050018310497</v>
      </c>
      <c r="AG1273" s="120">
        <v>-0.31286549568176297</v>
      </c>
    </row>
    <row r="1274" spans="1:33" x14ac:dyDescent="0.25">
      <c r="A1274" s="120">
        <v>1272</v>
      </c>
      <c r="B1274" s="120" t="b">
        <v>0</v>
      </c>
      <c r="C1274" s="120">
        <v>0</v>
      </c>
      <c r="D1274" s="61">
        <v>6</v>
      </c>
      <c r="E1274" s="120">
        <v>1</v>
      </c>
      <c r="F1274" s="120" t="s">
        <v>188</v>
      </c>
      <c r="G1274" s="55">
        <v>600</v>
      </c>
      <c r="H1274" s="120">
        <v>3138</v>
      </c>
      <c r="I1274" s="57">
        <v>100</v>
      </c>
      <c r="J1274" s="120">
        <v>110</v>
      </c>
      <c r="K1274" s="120">
        <v>10</v>
      </c>
      <c r="L1274" s="120">
        <v>80</v>
      </c>
      <c r="M1274" s="120">
        <v>-9999</v>
      </c>
      <c r="N1274" s="120">
        <v>-9999</v>
      </c>
      <c r="O1274" s="120">
        <v>2</v>
      </c>
      <c r="P1274" s="120">
        <v>1</v>
      </c>
      <c r="Q1274" s="120">
        <v>573</v>
      </c>
      <c r="R1274" s="120">
        <v>452.29998779296898</v>
      </c>
      <c r="S1274" s="148">
        <v>14.3999996185303</v>
      </c>
      <c r="T1274" s="120">
        <v>2</v>
      </c>
      <c r="U1274" s="120">
        <v>15</v>
      </c>
      <c r="V1274" s="120">
        <v>117</v>
      </c>
      <c r="W1274" s="120">
        <v>2885</v>
      </c>
      <c r="X1274" s="120">
        <v>91</v>
      </c>
      <c r="Y1274" s="120">
        <v>3200</v>
      </c>
      <c r="Z1274" s="120">
        <v>2510.39990234375</v>
      </c>
      <c r="AA1274" s="120">
        <v>90</v>
      </c>
      <c r="AB1274" s="120">
        <v>14.3999996185303</v>
      </c>
      <c r="AC1274" s="120">
        <v>1272</v>
      </c>
      <c r="AD1274" s="120">
        <v>2544</v>
      </c>
      <c r="AE1274" s="120">
        <v>1026.44995117188</v>
      </c>
      <c r="AF1274" s="120">
        <v>52.402050018310497</v>
      </c>
      <c r="AG1274" s="120">
        <v>-0.31286549568176297</v>
      </c>
    </row>
  </sheetData>
  <mergeCells count="5">
    <mergeCell ref="AT32:AW32"/>
    <mergeCell ref="BV8:CD8"/>
    <mergeCell ref="BV9:CD9"/>
    <mergeCell ref="BV17:CF19"/>
    <mergeCell ref="BV22:CF24"/>
  </mergeCells>
  <pageMargins left="0.7" right="0.7" top="0.75" bottom="0.75" header="0.3" footer="0.3"/>
  <pageSetup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3:K101"/>
  <sheetViews>
    <sheetView topLeftCell="A4" workbookViewId="0">
      <selection activeCell="D26" sqref="D26"/>
    </sheetView>
  </sheetViews>
  <sheetFormatPr defaultRowHeight="15" x14ac:dyDescent="0.25"/>
  <cols>
    <col min="1" max="1" width="37.28515625" customWidth="1"/>
    <col min="2" max="4" width="18.5703125" customWidth="1"/>
    <col min="6" max="6" width="11.5703125" bestFit="1" customWidth="1"/>
    <col min="9" max="9" width="11.5703125" bestFit="1" customWidth="1"/>
  </cols>
  <sheetData>
    <row r="3" spans="1:11" ht="45" customHeight="1" x14ac:dyDescent="0.25">
      <c r="A3" s="335" t="s">
        <v>271</v>
      </c>
      <c r="B3" s="335"/>
      <c r="C3" s="335"/>
      <c r="D3" s="335"/>
      <c r="E3" s="78"/>
      <c r="F3" s="78"/>
      <c r="G3" s="78"/>
      <c r="H3" s="78"/>
      <c r="I3" s="78"/>
      <c r="J3" s="78"/>
      <c r="K3" s="78"/>
    </row>
    <row r="4" spans="1:11" x14ac:dyDescent="0.25">
      <c r="B4" s="25" t="s">
        <v>1</v>
      </c>
      <c r="C4" s="25" t="s">
        <v>2</v>
      </c>
      <c r="D4" s="25" t="s">
        <v>3</v>
      </c>
    </row>
    <row r="5" spans="1:11" x14ac:dyDescent="0.25">
      <c r="A5" s="25" t="s">
        <v>27</v>
      </c>
      <c r="B5" s="69">
        <f>SUM(Basic!$AL$123:$AL$135)*'System Info'!$D$25/(1-'System Info'!$D$7)*30/100</f>
        <v>212.16304687499996</v>
      </c>
      <c r="C5" s="69">
        <f>SUM(Basic!$AL$123:$AL$135)*'System Info'!$D$25/(1-'System Info'!$D$7)*25/100</f>
        <v>176.80253906249996</v>
      </c>
      <c r="D5" s="69">
        <f>SUM(Basic!$AL$123:$AL$135)*'System Info'!$D$25/(1-'System Info'!$D$7)*20/100</f>
        <v>141.44203124999996</v>
      </c>
    </row>
    <row r="6" spans="1:11" x14ac:dyDescent="0.25">
      <c r="A6" s="25" t="s">
        <v>26</v>
      </c>
      <c r="B6" s="69">
        <f>SUM(Basic!$AM$123:$AM$135)*'System Info'!$D$25</f>
        <v>14.788799999999998</v>
      </c>
      <c r="C6" s="69">
        <f>SUM(Basic!$AM$123:$AM$135)*'System Info'!$D$25</f>
        <v>14.788799999999998</v>
      </c>
      <c r="D6" s="69">
        <f>SUM(Basic!$AM$123:$AM$135)*'System Info'!$D$25</f>
        <v>14.788799999999998</v>
      </c>
    </row>
    <row r="7" spans="1:11" x14ac:dyDescent="0.25">
      <c r="A7" s="34" t="s">
        <v>28</v>
      </c>
      <c r="B7" s="88">
        <f>B5-B6</f>
        <v>197.37424687499995</v>
      </c>
      <c r="C7" s="88">
        <f>C5-B6</f>
        <v>162.01373906249995</v>
      </c>
      <c r="D7" s="88">
        <f>D5-B6</f>
        <v>126.65323124999996</v>
      </c>
    </row>
    <row r="8" spans="1:11" x14ac:dyDescent="0.25">
      <c r="A8" s="25" t="s">
        <v>45</v>
      </c>
      <c r="B8" s="47">
        <f>(B7/'System Info'!$D$25*0.000703)</f>
        <v>1.9765540677083326</v>
      </c>
      <c r="C8" s="47">
        <f>(C7/'System Info'!$D$25*0.000703)</f>
        <v>1.6224452786458328</v>
      </c>
      <c r="D8" s="47">
        <f>(D7/'System Info'!$D$25*0.000703)</f>
        <v>1.2683364895833329</v>
      </c>
    </row>
    <row r="9" spans="1:11" x14ac:dyDescent="0.25">
      <c r="A9" s="25" t="s">
        <v>46</v>
      </c>
      <c r="B9" s="48">
        <f>B8/(0.000417)</f>
        <v>4739.9378122501985</v>
      </c>
      <c r="C9" s="48">
        <f>C8/(0.000417)</f>
        <v>3890.7560638988793</v>
      </c>
      <c r="D9" s="48">
        <f>D8/(0.000417)</f>
        <v>3041.5743155475611</v>
      </c>
    </row>
    <row r="10" spans="1:11" x14ac:dyDescent="0.25">
      <c r="B10" s="16"/>
      <c r="C10" s="16"/>
      <c r="D10" s="16"/>
    </row>
    <row r="11" spans="1:11" ht="31.9" customHeight="1" x14ac:dyDescent="0.25">
      <c r="A11" s="299" t="s">
        <v>272</v>
      </c>
      <c r="B11" s="299"/>
      <c r="C11" s="299"/>
      <c r="D11" s="299"/>
      <c r="E11" s="77"/>
      <c r="F11" s="77"/>
      <c r="G11" s="77"/>
      <c r="H11" s="77"/>
      <c r="I11" s="77"/>
      <c r="J11" s="77"/>
      <c r="K11" s="77"/>
    </row>
    <row r="12" spans="1:11" x14ac:dyDescent="0.25">
      <c r="A12" s="25" t="s">
        <v>94</v>
      </c>
      <c r="B12" s="69">
        <f>SUM(Basic!$AN$123:$AN$135)*'System Info'!$D$25/(1-'System Info'!$D$7)*30/100</f>
        <v>212.16304687499996</v>
      </c>
      <c r="C12" s="69">
        <f>SUM(Basic!$AN$123:$AN$135)*'System Info'!$D$25/(1-'System Info'!$D$7)*25/100</f>
        <v>176.80253906249996</v>
      </c>
      <c r="D12" s="69">
        <f>SUM(Basic!$AN$123:$AN$135)*'System Info'!$D$25/(1-'System Info'!$D$7)*20/100</f>
        <v>141.44203124999996</v>
      </c>
      <c r="G12" s="68"/>
    </row>
    <row r="13" spans="1:11" x14ac:dyDescent="0.25">
      <c r="A13" s="27" t="s">
        <v>93</v>
      </c>
      <c r="B13" s="96">
        <f>SUM(Basic!$AO$123:$AO$135)*'System Info'!$D$25</f>
        <v>14.788799999999998</v>
      </c>
      <c r="C13" s="96">
        <f>SUM(Basic!$AO$123:$AO$135)*'System Info'!$D$25</f>
        <v>14.788799999999998</v>
      </c>
      <c r="D13" s="96">
        <f>SUM(Basic!$AO$123:$AO$135)*'System Info'!$D$25</f>
        <v>14.788799999999998</v>
      </c>
    </row>
    <row r="14" spans="1:11" x14ac:dyDescent="0.25">
      <c r="A14" s="34" t="s">
        <v>95</v>
      </c>
      <c r="B14" s="95">
        <f>B12-B13</f>
        <v>197.37424687499995</v>
      </c>
      <c r="C14" s="95">
        <f>C12-C13</f>
        <v>162.01373906249995</v>
      </c>
      <c r="D14" s="95">
        <f>D12-D13</f>
        <v>126.65323124999996</v>
      </c>
    </row>
    <row r="15" spans="1:11" x14ac:dyDescent="0.25">
      <c r="A15" s="25" t="s">
        <v>45</v>
      </c>
      <c r="B15" s="49">
        <f>(B14/'System Info'!$D$25*0.000703)</f>
        <v>1.9765540677083326</v>
      </c>
      <c r="C15" s="49">
        <f>(C14/'System Info'!$D$25*0.000703)</f>
        <v>1.6224452786458328</v>
      </c>
      <c r="D15" s="49">
        <f>(D14/'System Info'!$D$25*0.000703)</f>
        <v>1.2683364895833329</v>
      </c>
    </row>
    <row r="16" spans="1:11" x14ac:dyDescent="0.25">
      <c r="A16" s="25" t="s">
        <v>46</v>
      </c>
      <c r="B16" s="48">
        <f>B15/(0.000417)</f>
        <v>4739.9378122501985</v>
      </c>
      <c r="C16" s="48">
        <f>C15/(0.000417)</f>
        <v>3890.7560638988793</v>
      </c>
      <c r="D16" s="48">
        <f>D15/(0.000417)</f>
        <v>3041.5743155475611</v>
      </c>
    </row>
    <row r="17" spans="1:11" x14ac:dyDescent="0.25">
      <c r="A17" s="21"/>
      <c r="B17" s="21"/>
      <c r="C17" s="21"/>
      <c r="D17" s="21"/>
    </row>
    <row r="18" spans="1:11" ht="29.25" customHeight="1" x14ac:dyDescent="0.25">
      <c r="A18" s="299" t="s">
        <v>285</v>
      </c>
      <c r="B18" s="299"/>
      <c r="C18" s="299"/>
      <c r="D18" s="299"/>
      <c r="E18" s="41"/>
      <c r="F18" s="41"/>
      <c r="G18" s="41"/>
      <c r="H18" s="41"/>
      <c r="I18" s="41"/>
      <c r="J18" s="41"/>
      <c r="K18" s="41"/>
    </row>
    <row r="19" spans="1:11" ht="14.45" customHeight="1" x14ac:dyDescent="0.25">
      <c r="A19" s="25" t="s">
        <v>275</v>
      </c>
      <c r="B19" s="69">
        <f>IF('System Info'!$D$4="Yes",'System Info'!$D$5/'System Info'!$D$6*0.5,0)</f>
        <v>0</v>
      </c>
      <c r="C19" s="69">
        <f>IF('System Info'!$D$4="Yes",'System Info'!$D$5/'System Info'!$D$6*0.5,0)</f>
        <v>0</v>
      </c>
      <c r="D19" s="69">
        <f>IF('System Info'!$D$4="Yes",'System Info'!$D$5/'System Info'!$D$6*0.5,0)</f>
        <v>0</v>
      </c>
      <c r="E19" s="45"/>
      <c r="F19" s="45"/>
      <c r="G19" s="45"/>
      <c r="H19" s="45"/>
      <c r="I19" s="45"/>
      <c r="J19" s="45"/>
      <c r="K19" s="45"/>
    </row>
    <row r="20" spans="1:11" ht="14.45" customHeight="1" x14ac:dyDescent="0.25">
      <c r="A20" s="25" t="s">
        <v>220</v>
      </c>
      <c r="B20" s="39">
        <f>IF('System Info'!$D$9="No",0,'System Info'!$D$10)</f>
        <v>0</v>
      </c>
      <c r="C20" s="39">
        <f>IF('System Info'!$D$9="No",0,'System Info'!$D$10)</f>
        <v>0</v>
      </c>
      <c r="D20" s="39">
        <f>IF('System Info'!$D$9="No",0,'System Info'!$D$10)</f>
        <v>0</v>
      </c>
      <c r="E20" s="45"/>
      <c r="F20" s="45"/>
      <c r="G20" s="45"/>
      <c r="H20" s="45"/>
      <c r="I20" s="45"/>
      <c r="J20" s="45"/>
      <c r="K20" s="45"/>
    </row>
    <row r="21" spans="1:11" ht="14.45" customHeight="1" x14ac:dyDescent="0.25">
      <c r="A21" s="34" t="s">
        <v>63</v>
      </c>
      <c r="B21" s="88">
        <f>B14+B19+B20</f>
        <v>197.37424687499995</v>
      </c>
      <c r="C21" s="88">
        <f>C14+C19+C20</f>
        <v>162.01373906249995</v>
      </c>
      <c r="D21" s="88">
        <f>D14+D19+D20</f>
        <v>126.65323124999996</v>
      </c>
      <c r="E21" s="45"/>
      <c r="F21" s="45"/>
      <c r="G21" s="45"/>
      <c r="H21" s="45"/>
      <c r="I21" s="45"/>
      <c r="J21" s="45"/>
      <c r="K21" s="45"/>
    </row>
    <row r="23" spans="1:11" ht="75.75" customHeight="1" x14ac:dyDescent="0.25">
      <c r="A23" s="305" t="s">
        <v>273</v>
      </c>
      <c r="B23" s="305"/>
      <c r="C23" s="305"/>
      <c r="D23" s="305"/>
      <c r="E23" s="30"/>
      <c r="I23" s="20"/>
    </row>
    <row r="24" spans="1:11" ht="29.25" customHeight="1" x14ac:dyDescent="0.25">
      <c r="A24" s="336" t="s">
        <v>264</v>
      </c>
      <c r="B24" s="337"/>
      <c r="C24" s="337"/>
      <c r="D24" s="337"/>
    </row>
    <row r="25" spans="1:11" x14ac:dyDescent="0.25">
      <c r="A25" s="82" t="s">
        <v>249</v>
      </c>
    </row>
    <row r="26" spans="1:11" ht="14.45" customHeight="1" x14ac:dyDescent="0.25">
      <c r="E26" s="41"/>
      <c r="F26" s="41"/>
      <c r="G26" s="41"/>
      <c r="H26" s="41"/>
      <c r="I26" s="41"/>
      <c r="J26" s="41"/>
      <c r="K26" s="41"/>
    </row>
    <row r="27" spans="1:11" x14ac:dyDescent="0.25">
      <c r="A27" s="25" t="s">
        <v>61</v>
      </c>
      <c r="B27" s="39">
        <f>SUM(Basic!$AS$123:$AS$135) + SUMIF(Basic!$X$123:$X$135,"&lt;&gt;",Basic!$Z$123:$Z$135)*'System Info'!$D$16</f>
        <v>119.60784313725489</v>
      </c>
      <c r="C27" s="39">
        <f>SUM(Basic!$AS$123:$AS$135) + SUMIF(Basic!$X$123:$X$135,"&lt;&gt;",Basic!$Z$123:$Z$135)*'System Info'!$D$16</f>
        <v>119.60784313725489</v>
      </c>
      <c r="D27" s="39">
        <f>SUM(Basic!$AS$123:$AS$135) + SUMIF(Basic!$X$123:$X$135,"&lt;&gt;",Basic!$Z$123:$Z$135)*'System Info'!$D$16</f>
        <v>119.60784313725489</v>
      </c>
    </row>
    <row r="28" spans="1:11" x14ac:dyDescent="0.25">
      <c r="A28" s="25" t="str">
        <f>CONCATENATE("Annual ",A25," Tool Cost")</f>
        <v>Annual Corded Tool Cost</v>
      </c>
      <c r="B28" s="39">
        <f>IF(A25="Corded",SUM(Basic!$AT$123:$AT$135) + SUMIF(Basic!$X$123:$X$135,"&lt;&gt;",Basic!$Z$123:$Z$135)*'System Info'!$D$17,IF(A25="Cordless",SUM(Basic!$AU$123:$AU$135)  + SUMIF(Basic!$X$123:$X$135,"&lt;&gt;",Basic!$Z$123:$Z$135)*'System Info'!$D$18,IF(A25="Preference", SUM(Basic!$AX$123:$AX$135)+SUM(Basic!$BL$123:$BL$135))))</f>
        <v>29.326923076923077</v>
      </c>
      <c r="C28" s="39">
        <f>IF(A25="Corded",SUM(Basic!$AT$123:$AT$135) + SUMIF(Basic!$X$123:$X$135,"&lt;&gt;",Basic!$Z$123:$Z$135)*'System Info'!$D$17,IF(A25="Cordless",SUM(Basic!$AU$123:$AU$135)  + SUMIF(Basic!$X$123:$X$135,"&lt;&gt;",Basic!$Z$123:$Z$135)*'System Info'!$D$18,IF(A25="Preference", SUM(Basic!$AX$123:$AX$135)+SUM(Basic!$BL$123:$BL$135))))</f>
        <v>29.326923076923077</v>
      </c>
      <c r="D28" s="39">
        <f>IF(A25="Corded",SUM(Basic!$AT$123:$AT$135) + SUMIF(Basic!$X$123:$X$135,"&lt;&gt;",Basic!$Z$123:$Z$135)*'System Info'!$D$17,IF(A25="Cordless",SUM(Basic!$AU$123:$AU$135)  + SUMIF(Basic!$X$123:$X$135,"&lt;&gt;",Basic!$Z$123:$Z$135)*'System Info'!$D$18,IF(A25="Preference", SUM(Basic!$AX$123:$AX$135)+SUM(Basic!$BL$123:$BL$135))))</f>
        <v>29.326923076923077</v>
      </c>
    </row>
    <row r="29" spans="1:11" x14ac:dyDescent="0.25">
      <c r="A29" s="34" t="s">
        <v>63</v>
      </c>
      <c r="B29" s="88">
        <f>B21-B28+B27</f>
        <v>287.65516693533175</v>
      </c>
      <c r="C29" s="88">
        <f>C21-C28+C27</f>
        <v>252.29465912283177</v>
      </c>
      <c r="D29" s="88">
        <f>D21-D28+D27</f>
        <v>216.93415131033177</v>
      </c>
      <c r="E29" s="20">
        <f>ROUND(B29,0)</f>
        <v>288</v>
      </c>
      <c r="F29" s="20">
        <f>ROUND(C29,0)</f>
        <v>252</v>
      </c>
      <c r="G29" s="20">
        <f>ROUND(D29,0)</f>
        <v>217</v>
      </c>
      <c r="H29" s="106" t="s">
        <v>100</v>
      </c>
      <c r="I29" s="107">
        <f>SUM(Basic!$AU$123:$AU$135)  + SUMIF(Basic!$X$123:$X$135,"&lt;&gt;",Basic!$Z$123:$Z$135)*'System Info'!$D$18</f>
        <v>156</v>
      </c>
      <c r="J29" s="107">
        <f>SUM(Basic!$AU$123:$AU$135)  + SUMIF(Basic!$X$123:$X$135,"&lt;&gt;",Basic!$Z$123:$Z$135)*'System Info'!$D$18</f>
        <v>156</v>
      </c>
      <c r="K29" s="107">
        <f>SUM(Basic!$AU$123:$AU$135)  + SUMIF(Basic!$X$123:$X$135,"&lt;&gt;",Basic!$Z$123:$Z$135)*'System Info'!$D$18</f>
        <v>156</v>
      </c>
    </row>
    <row r="30" spans="1:11" ht="61.5" customHeight="1" x14ac:dyDescent="0.25">
      <c r="A30" s="339" t="s">
        <v>283</v>
      </c>
      <c r="B30" s="340"/>
      <c r="C30" s="340"/>
      <c r="D30" s="341"/>
      <c r="F30" s="1"/>
      <c r="H30" s="106" t="s">
        <v>262</v>
      </c>
      <c r="I30" s="107">
        <f>SUM(Basic!$AX$123:$AX$135)+SUM(Basic!$BL$123:$BL$135)</f>
        <v>156</v>
      </c>
      <c r="J30" s="107">
        <f>SUM(Basic!$AX$123:$AX$135)+SUM(Basic!$BL$123:$BL$135)</f>
        <v>156</v>
      </c>
      <c r="K30" s="107">
        <f>SUM(Basic!$AX$123:$AX$135)+SUM(Basic!$BL$123:$BL$135)</f>
        <v>156</v>
      </c>
    </row>
    <row r="31" spans="1:11" x14ac:dyDescent="0.25">
      <c r="A31" s="70" t="str">
        <f>CONCATENATE("Initial cost of new ",A25," tools")</f>
        <v>Initial cost of new Corded tools</v>
      </c>
      <c r="B31" s="71">
        <f>IF($A$25="Cordless",SUM(Basic!$AW$123:$AW$135),IF($A$25="Corded",SUM(Basic!$AV$123:$AV$135),SUM(Basic!$AY$123:$AY$135)))</f>
        <v>76.25</v>
      </c>
      <c r="C31" s="71">
        <f>IF($A$25="Cordless",SUM(Basic!$AW$123:$AW$135),IF($A$25="Corded",SUM(Basic!$AV$123:$AV$135),SUM(Basic!$AY$123:$AY$135)))</f>
        <v>76.25</v>
      </c>
      <c r="D31" s="71">
        <f>IF($A$25="Cordless",SUM(Basic!$AW$123:$AW$135),IF($A$25="Corded",SUM(Basic!$AV$123:$AV$135),SUM(Basic!$AY$123:$AY$135)))</f>
        <v>76.25</v>
      </c>
      <c r="H31" s="108" t="s">
        <v>230</v>
      </c>
      <c r="I31" s="109">
        <f>IF($A$25="Cordless",SUM(Basic!$BM$123:$BM$135),IF($A$25="Preference",SUM(Basic!$BM$123:$BM$135),0))</f>
        <v>0</v>
      </c>
      <c r="J31" s="109">
        <f>IF($A$25="Cordless",SUM(Basic!$BM$123:$BM$135),IF($A$25="Preference",SUM(Basic!$BM$123:$BM$135),0))</f>
        <v>0</v>
      </c>
      <c r="K31" s="109">
        <f>IF($A$25="Cordless",SUM(Basic!$BM$123:$BM$135),IF($A$25="Preference",SUM(Basic!$BM$123:$BM$135),0))</f>
        <v>0</v>
      </c>
    </row>
    <row r="32" spans="1:11" ht="14.45" customHeight="1" x14ac:dyDescent="0.25">
      <c r="A32" s="25" t="s">
        <v>107</v>
      </c>
      <c r="B32" s="39">
        <f>B29</f>
        <v>287.65516693533175</v>
      </c>
      <c r="C32" s="39">
        <f>C29</f>
        <v>252.29465912283177</v>
      </c>
      <c r="D32" s="39">
        <f>D29</f>
        <v>216.93415131033177</v>
      </c>
    </row>
    <row r="33" spans="1:11" x14ac:dyDescent="0.25">
      <c r="A33" s="34" t="str">
        <f>CONCATENATE(A25, " payback (years)")</f>
        <v>Corded payback (years)</v>
      </c>
      <c r="B33" s="98">
        <f>IF(B32&gt;0,B31/B32)</f>
        <v>0.26507432775279122</v>
      </c>
      <c r="C33" s="98">
        <f>IF(C32&gt;0,C31/C32)</f>
        <v>0.30222597761325198</v>
      </c>
      <c r="D33" s="98">
        <f>IF(D32&gt;0,D31/D32)</f>
        <v>0.35148914792545388</v>
      </c>
    </row>
    <row r="34" spans="1:11" x14ac:dyDescent="0.25">
      <c r="A34" s="99" t="str">
        <f>CONCATENATE(A25, " payback (months)")</f>
        <v>Corded payback (months)</v>
      </c>
      <c r="B34" s="100">
        <f>IF(B32&gt;0,B33*12,"N/A")</f>
        <v>3.1808919330334948</v>
      </c>
      <c r="C34" s="100">
        <f>IF(C32&gt;0,C33*12,"N/A")</f>
        <v>3.6267117313590238</v>
      </c>
      <c r="D34" s="100">
        <f>IF(D32&gt;0,D33*12,"N/A")</f>
        <v>4.2178697751054468</v>
      </c>
      <c r="E34" s="90">
        <f>ROUND(B34,1)</f>
        <v>3.2</v>
      </c>
      <c r="F34" s="90">
        <f>ROUND(C34,1)</f>
        <v>3.6</v>
      </c>
      <c r="G34" s="90">
        <f>ROUND(D34,1)</f>
        <v>4.2</v>
      </c>
    </row>
    <row r="35" spans="1:11" x14ac:dyDescent="0.25">
      <c r="A35" s="44"/>
      <c r="B35" s="44"/>
      <c r="C35" s="44"/>
      <c r="D35" s="44"/>
      <c r="E35" s="41"/>
      <c r="F35" s="41"/>
      <c r="G35" s="41"/>
    </row>
    <row r="36" spans="1:11" s="44" customFormat="1" ht="48.75" customHeight="1" x14ac:dyDescent="0.25">
      <c r="A36" s="338" t="str">
        <f>IFERROR(CONCATENATE("This means that when transitioning these pneumatic tools to electric, it should take between ", E34, " and ", G34, " months to return your initial investment in the new tools. After that point you should be saving between ", G29, " and ", E29," dollars per year."),"It will cost more per year to use electric than pneumatic.")</f>
        <v>This means that when transitioning these pneumatic tools to electric, it should take between 3.2 and 4.2 months to return your initial investment in the new tools. After that point you should be saving between 217 and 288 dollars per year.</v>
      </c>
      <c r="B36" s="338"/>
      <c r="C36" s="338"/>
      <c r="D36" s="338"/>
      <c r="E36" s="41"/>
      <c r="F36"/>
      <c r="G36" s="41"/>
      <c r="H36" s="41"/>
      <c r="I36" s="41"/>
      <c r="J36" s="41"/>
      <c r="K36" s="41"/>
    </row>
    <row r="37" spans="1:11" s="44" customFormat="1" x14ac:dyDescent="0.25">
      <c r="H37" s="41"/>
      <c r="I37" s="41"/>
      <c r="J37" s="41"/>
      <c r="K37" s="41"/>
    </row>
    <row r="38" spans="1:11" ht="14.45" customHeight="1" x14ac:dyDescent="0.25">
      <c r="H38" s="41"/>
      <c r="I38" s="41"/>
      <c r="J38" s="41"/>
      <c r="K38" s="41"/>
    </row>
    <row r="39" spans="1:11" ht="44.45" customHeight="1" x14ac:dyDescent="0.25">
      <c r="A39" t="s">
        <v>321</v>
      </c>
      <c r="B39" t="s">
        <v>310</v>
      </c>
    </row>
    <row r="40" spans="1:11" x14ac:dyDescent="0.25">
      <c r="A40" t="s">
        <v>311</v>
      </c>
      <c r="B40" t="s">
        <v>498</v>
      </c>
      <c r="C40" t="s">
        <v>2</v>
      </c>
      <c r="D40" t="s">
        <v>497</v>
      </c>
    </row>
    <row r="41" spans="1:11" x14ac:dyDescent="0.25">
      <c r="A41">
        <v>0</v>
      </c>
      <c r="B41" s="114">
        <f>Basic!Y92*-1</f>
        <v>0</v>
      </c>
      <c r="C41" s="114">
        <f>Basic!Y92*-1</f>
        <v>0</v>
      </c>
      <c r="D41" s="114">
        <f>Basic!Y92*-1</f>
        <v>0</v>
      </c>
    </row>
    <row r="42" spans="1:11" x14ac:dyDescent="0.25">
      <c r="A42">
        <v>1</v>
      </c>
      <c r="B42" s="114">
        <f>B41+(Basic!$Y$93/12)</f>
        <v>0</v>
      </c>
      <c r="C42" s="114">
        <f>C41+(Basic!$Y$94/12)</f>
        <v>0</v>
      </c>
      <c r="D42" s="114">
        <f>D41+(Basic!$Y$95/12)</f>
        <v>0</v>
      </c>
    </row>
    <row r="43" spans="1:11" x14ac:dyDescent="0.25">
      <c r="A43">
        <v>2</v>
      </c>
      <c r="B43" s="114">
        <f>B42+(Basic!$Y$93/12)</f>
        <v>0</v>
      </c>
      <c r="C43" s="114">
        <f>C42+(Basic!$Y$94/12)</f>
        <v>0</v>
      </c>
      <c r="D43" s="114">
        <f>D42+(Basic!$Y$95/12)</f>
        <v>0</v>
      </c>
    </row>
    <row r="44" spans="1:11" x14ac:dyDescent="0.25">
      <c r="A44">
        <v>3</v>
      </c>
      <c r="B44" s="114">
        <f>B43+(Basic!$Y$93/12)</f>
        <v>0</v>
      </c>
      <c r="C44" s="114">
        <f>C43+(Basic!$Y$94/12)</f>
        <v>0</v>
      </c>
      <c r="D44" s="114">
        <f>D43+(Basic!$Y$95/12)</f>
        <v>0</v>
      </c>
    </row>
    <row r="45" spans="1:11" x14ac:dyDescent="0.25">
      <c r="A45">
        <v>4</v>
      </c>
      <c r="B45" s="114">
        <f>B44+(Basic!$Y$93/12)</f>
        <v>0</v>
      </c>
      <c r="C45" s="114">
        <f>C44+(Basic!$Y$94/12)</f>
        <v>0</v>
      </c>
      <c r="D45" s="114">
        <f>D44+(Basic!$Y$95/12)</f>
        <v>0</v>
      </c>
    </row>
    <row r="46" spans="1:11" x14ac:dyDescent="0.25">
      <c r="A46">
        <v>5</v>
      </c>
      <c r="B46" s="114">
        <f>B45+(Basic!$Y$93/12)</f>
        <v>0</v>
      </c>
      <c r="C46" s="114">
        <f>C45+(Basic!$Y$94/12)</f>
        <v>0</v>
      </c>
      <c r="D46" s="114">
        <f>D45+(Basic!$Y$95/12)</f>
        <v>0</v>
      </c>
    </row>
    <row r="47" spans="1:11" x14ac:dyDescent="0.25">
      <c r="A47">
        <v>6</v>
      </c>
      <c r="B47" s="114">
        <f>B46+(Basic!$Y$93/12)</f>
        <v>0</v>
      </c>
      <c r="C47" s="114">
        <f>C46+(Basic!$Y$94/12)</f>
        <v>0</v>
      </c>
      <c r="D47" s="114">
        <f>D46+(Basic!$Y$95/12)</f>
        <v>0</v>
      </c>
    </row>
    <row r="48" spans="1:11" x14ac:dyDescent="0.25">
      <c r="A48">
        <v>7</v>
      </c>
      <c r="B48" s="114">
        <f>B47+(Basic!$Y$93/12)</f>
        <v>0</v>
      </c>
      <c r="C48" s="114">
        <f>C47+(Basic!$Y$94/12)</f>
        <v>0</v>
      </c>
      <c r="D48" s="114">
        <f>D47+(Basic!$Y$95/12)</f>
        <v>0</v>
      </c>
    </row>
    <row r="49" spans="1:4" x14ac:dyDescent="0.25">
      <c r="A49">
        <v>8</v>
      </c>
      <c r="B49" s="114">
        <f>B48+(Basic!$Y$93/12)</f>
        <v>0</v>
      </c>
      <c r="C49" s="114">
        <f>C48+(Basic!$Y$94/12)</f>
        <v>0</v>
      </c>
      <c r="D49" s="114">
        <f>D48+(Basic!$Y$95/12)</f>
        <v>0</v>
      </c>
    </row>
    <row r="50" spans="1:4" x14ac:dyDescent="0.25">
      <c r="A50">
        <v>9</v>
      </c>
      <c r="B50" s="114">
        <f>B49+(Basic!$Y$93/12)</f>
        <v>0</v>
      </c>
      <c r="C50" s="114">
        <f>C49+(Basic!$Y$94/12)</f>
        <v>0</v>
      </c>
      <c r="D50" s="114">
        <f>D49+(Basic!$Y$95/12)</f>
        <v>0</v>
      </c>
    </row>
    <row r="51" spans="1:4" x14ac:dyDescent="0.25">
      <c r="A51">
        <v>10</v>
      </c>
      <c r="B51" s="114">
        <f>B50+(Basic!$Y$93/12)</f>
        <v>0</v>
      </c>
      <c r="C51" s="114">
        <f>C50+(Basic!$Y$94/12)</f>
        <v>0</v>
      </c>
      <c r="D51" s="114">
        <f>D50+(Basic!$Y$95/12)</f>
        <v>0</v>
      </c>
    </row>
    <row r="52" spans="1:4" x14ac:dyDescent="0.25">
      <c r="A52">
        <v>11</v>
      </c>
      <c r="B52" s="114">
        <f>B51+(Basic!$Y$93/12)</f>
        <v>0</v>
      </c>
      <c r="C52" s="114">
        <f>C51+(Basic!$Y$94/12)</f>
        <v>0</v>
      </c>
      <c r="D52" s="114">
        <f>D51+(Basic!$Y$95/12)</f>
        <v>0</v>
      </c>
    </row>
    <row r="53" spans="1:4" x14ac:dyDescent="0.25">
      <c r="A53">
        <v>12</v>
      </c>
      <c r="B53" s="114">
        <f>B52+(Basic!$Y$93/12)</f>
        <v>0</v>
      </c>
      <c r="C53" s="114">
        <f>C52+(Basic!$Y$94/12)</f>
        <v>0</v>
      </c>
      <c r="D53" s="114">
        <f>D52+(Basic!$Y$95/12)</f>
        <v>0</v>
      </c>
    </row>
    <row r="54" spans="1:4" x14ac:dyDescent="0.25">
      <c r="A54">
        <v>13</v>
      </c>
      <c r="B54" s="114">
        <f>B53+(Basic!$Y$93/12)</f>
        <v>0</v>
      </c>
      <c r="C54" s="114">
        <f>C53+(Basic!$Y$94/12)</f>
        <v>0</v>
      </c>
      <c r="D54" s="114">
        <f>D53+(Basic!$Y$95/12)</f>
        <v>0</v>
      </c>
    </row>
    <row r="55" spans="1:4" x14ac:dyDescent="0.25">
      <c r="A55">
        <v>14</v>
      </c>
      <c r="B55" s="114">
        <f>B54+(Basic!$Y$93/12)</f>
        <v>0</v>
      </c>
      <c r="C55" s="114">
        <f>C54+(Basic!$Y$94/12)</f>
        <v>0</v>
      </c>
      <c r="D55" s="114">
        <f>D54+(Basic!$Y$95/12)</f>
        <v>0</v>
      </c>
    </row>
    <row r="56" spans="1:4" x14ac:dyDescent="0.25">
      <c r="A56">
        <v>15</v>
      </c>
      <c r="B56" s="114">
        <f>B55+(Basic!$Y$93/12)</f>
        <v>0</v>
      </c>
      <c r="C56" s="114">
        <f>C55+(Basic!$Y$94/12)</f>
        <v>0</v>
      </c>
      <c r="D56" s="114">
        <f>D55+(Basic!$Y$95/12)</f>
        <v>0</v>
      </c>
    </row>
    <row r="57" spans="1:4" x14ac:dyDescent="0.25">
      <c r="A57">
        <v>16</v>
      </c>
      <c r="B57" s="114">
        <f>B56+(Basic!$Y$93/12)</f>
        <v>0</v>
      </c>
      <c r="C57" s="114">
        <f>C56+(Basic!$Y$94/12)</f>
        <v>0</v>
      </c>
      <c r="D57" s="114">
        <f>D56+(Basic!$Y$95/12)</f>
        <v>0</v>
      </c>
    </row>
    <row r="58" spans="1:4" x14ac:dyDescent="0.25">
      <c r="A58">
        <v>17</v>
      </c>
      <c r="B58" s="114">
        <f>B57+(Basic!$Y$93/12)</f>
        <v>0</v>
      </c>
      <c r="C58" s="114">
        <f>C57+(Basic!$Y$94/12)</f>
        <v>0</v>
      </c>
      <c r="D58" s="114">
        <f>D57+(Basic!$Y$95/12)</f>
        <v>0</v>
      </c>
    </row>
    <row r="59" spans="1:4" x14ac:dyDescent="0.25">
      <c r="A59">
        <v>18</v>
      </c>
      <c r="B59" s="114">
        <f>B58+(Basic!$Y$93/12)</f>
        <v>0</v>
      </c>
      <c r="C59" s="114">
        <f>C58+(Basic!$Y$94/12)</f>
        <v>0</v>
      </c>
      <c r="D59" s="114">
        <f>D58+(Basic!$Y$95/12)</f>
        <v>0</v>
      </c>
    </row>
    <row r="60" spans="1:4" x14ac:dyDescent="0.25">
      <c r="A60">
        <v>19</v>
      </c>
      <c r="B60" s="114">
        <f>B59+(Basic!$Y$93/12)</f>
        <v>0</v>
      </c>
      <c r="C60" s="114">
        <f>C59+(Basic!$Y$94/12)</f>
        <v>0</v>
      </c>
      <c r="D60" s="114">
        <f>D59+(Basic!$Y$95/12)</f>
        <v>0</v>
      </c>
    </row>
    <row r="61" spans="1:4" x14ac:dyDescent="0.25">
      <c r="A61">
        <v>20</v>
      </c>
      <c r="B61" s="114">
        <f>B60+(Basic!$Y$93/12)</f>
        <v>0</v>
      </c>
      <c r="C61" s="114">
        <f>C60+(Basic!$Y$94/12)</f>
        <v>0</v>
      </c>
      <c r="D61" s="114">
        <f>D60+(Basic!$Y$95/12)</f>
        <v>0</v>
      </c>
    </row>
    <row r="62" spans="1:4" x14ac:dyDescent="0.25">
      <c r="A62">
        <v>21</v>
      </c>
      <c r="B62" s="114">
        <f>B61+(Basic!$Y$93/12)</f>
        <v>0</v>
      </c>
      <c r="C62" s="114">
        <f>C61+(Basic!$Y$94/12)</f>
        <v>0</v>
      </c>
      <c r="D62" s="114">
        <f>D61+(Basic!$Y$95/12)</f>
        <v>0</v>
      </c>
    </row>
    <row r="63" spans="1:4" x14ac:dyDescent="0.25">
      <c r="A63">
        <v>22</v>
      </c>
      <c r="B63" s="114">
        <f>B62+(Basic!$Y$93/12)</f>
        <v>0</v>
      </c>
      <c r="C63" s="114">
        <f>C62+(Basic!$Y$94/12)</f>
        <v>0</v>
      </c>
      <c r="D63" s="114">
        <f>D62+(Basic!$Y$95/12)</f>
        <v>0</v>
      </c>
    </row>
    <row r="64" spans="1:4" x14ac:dyDescent="0.25">
      <c r="A64">
        <v>23</v>
      </c>
      <c r="B64" s="114">
        <f>B63+(Basic!$Y$93/12)</f>
        <v>0</v>
      </c>
      <c r="C64" s="114">
        <f>C63+(Basic!$Y$94/12)</f>
        <v>0</v>
      </c>
      <c r="D64" s="114">
        <f>D63+(Basic!$Y$95/12)</f>
        <v>0</v>
      </c>
    </row>
    <row r="65" spans="1:4" x14ac:dyDescent="0.25">
      <c r="A65">
        <v>24</v>
      </c>
      <c r="B65" s="114">
        <f>B64+(Basic!$Y$93/12)</f>
        <v>0</v>
      </c>
      <c r="C65" s="114">
        <f>C64+(Basic!$Y$94/12)</f>
        <v>0</v>
      </c>
      <c r="D65" s="114">
        <f>D64+(Basic!$Y$95/12)</f>
        <v>0</v>
      </c>
    </row>
    <row r="66" spans="1:4" x14ac:dyDescent="0.25">
      <c r="A66">
        <v>25</v>
      </c>
      <c r="B66" s="114">
        <f>B65+(Basic!$Y$93/12)</f>
        <v>0</v>
      </c>
      <c r="C66" s="114">
        <f>C65+(Basic!$Y$94/12)</f>
        <v>0</v>
      </c>
      <c r="D66" s="114">
        <f>D65+(Basic!$Y$95/12)</f>
        <v>0</v>
      </c>
    </row>
    <row r="67" spans="1:4" x14ac:dyDescent="0.25">
      <c r="A67">
        <v>26</v>
      </c>
      <c r="B67" s="114">
        <f>B66+(Basic!$Y$93/12)</f>
        <v>0</v>
      </c>
      <c r="C67" s="114">
        <f>C66+(Basic!$Y$94/12)</f>
        <v>0</v>
      </c>
      <c r="D67" s="114">
        <f>D66+(Basic!$Y$95/12)</f>
        <v>0</v>
      </c>
    </row>
    <row r="68" spans="1:4" x14ac:dyDescent="0.25">
      <c r="A68">
        <v>27</v>
      </c>
      <c r="B68" s="114">
        <f>B67+(Basic!$Y$93/12)</f>
        <v>0</v>
      </c>
      <c r="C68" s="114">
        <f>C67+(Basic!$Y$94/12)</f>
        <v>0</v>
      </c>
      <c r="D68" s="114">
        <f>D67+(Basic!$Y$95/12)</f>
        <v>0</v>
      </c>
    </row>
    <row r="69" spans="1:4" x14ac:dyDescent="0.25">
      <c r="A69">
        <v>28</v>
      </c>
      <c r="B69" s="114">
        <f>B68+(Basic!$Y$93/12)</f>
        <v>0</v>
      </c>
      <c r="C69" s="114">
        <f>C68+(Basic!$Y$94/12)</f>
        <v>0</v>
      </c>
      <c r="D69" s="114">
        <f>D68+(Basic!$Y$95/12)</f>
        <v>0</v>
      </c>
    </row>
    <row r="70" spans="1:4" x14ac:dyDescent="0.25">
      <c r="A70">
        <v>29</v>
      </c>
      <c r="B70" s="114">
        <f>B69+(Basic!$Y$93/12)</f>
        <v>0</v>
      </c>
      <c r="C70" s="114">
        <f>C69+(Basic!$Y$94/12)</f>
        <v>0</v>
      </c>
      <c r="D70" s="114">
        <f>D69+(Basic!$Y$95/12)</f>
        <v>0</v>
      </c>
    </row>
    <row r="71" spans="1:4" x14ac:dyDescent="0.25">
      <c r="A71">
        <v>30</v>
      </c>
      <c r="B71" s="114">
        <f>B70+(Basic!$Y$93/12)</f>
        <v>0</v>
      </c>
      <c r="C71" s="114">
        <f>C70+(Basic!$Y$94/12)</f>
        <v>0</v>
      </c>
      <c r="D71" s="114">
        <f>D70+(Basic!$Y$95/12)</f>
        <v>0</v>
      </c>
    </row>
    <row r="72" spans="1:4" x14ac:dyDescent="0.25">
      <c r="A72">
        <v>31</v>
      </c>
      <c r="B72" s="114">
        <f>B71+(Basic!$Y$93/12)</f>
        <v>0</v>
      </c>
      <c r="C72" s="114">
        <f>C71+(Basic!$Y$94/12)</f>
        <v>0</v>
      </c>
      <c r="D72" s="114">
        <f>D71+(Basic!$Y$95/12)</f>
        <v>0</v>
      </c>
    </row>
    <row r="73" spans="1:4" x14ac:dyDescent="0.25">
      <c r="A73">
        <v>32</v>
      </c>
      <c r="B73" s="114">
        <f>B72+(Basic!$Y$93/12)</f>
        <v>0</v>
      </c>
      <c r="C73" s="114">
        <f>C72+(Basic!$Y$94/12)</f>
        <v>0</v>
      </c>
      <c r="D73" s="114">
        <f>D72+(Basic!$Y$95/12)</f>
        <v>0</v>
      </c>
    </row>
    <row r="74" spans="1:4" x14ac:dyDescent="0.25">
      <c r="A74">
        <v>33</v>
      </c>
      <c r="B74" s="114">
        <f>B73+(Basic!$Y$93/12)</f>
        <v>0</v>
      </c>
      <c r="C74" s="114">
        <f>C73+(Basic!$Y$94/12)</f>
        <v>0</v>
      </c>
      <c r="D74" s="114">
        <f>D73+(Basic!$Y$95/12)</f>
        <v>0</v>
      </c>
    </row>
    <row r="75" spans="1:4" x14ac:dyDescent="0.25">
      <c r="A75">
        <v>34</v>
      </c>
      <c r="B75" s="114">
        <f>B74+(Basic!$Y$93/12)</f>
        <v>0</v>
      </c>
      <c r="C75" s="114">
        <f>C74+(Basic!$Y$94/12)</f>
        <v>0</v>
      </c>
      <c r="D75" s="114">
        <f>D74+(Basic!$Y$95/12)</f>
        <v>0</v>
      </c>
    </row>
    <row r="76" spans="1:4" x14ac:dyDescent="0.25">
      <c r="A76">
        <v>35</v>
      </c>
      <c r="B76" s="114">
        <f>B75+(Basic!$Y$93/12)</f>
        <v>0</v>
      </c>
      <c r="C76" s="114">
        <f>C75+(Basic!$Y$94/12)</f>
        <v>0</v>
      </c>
      <c r="D76" s="114">
        <f>D75+(Basic!$Y$95/12)</f>
        <v>0</v>
      </c>
    </row>
    <row r="77" spans="1:4" x14ac:dyDescent="0.25">
      <c r="A77">
        <v>36</v>
      </c>
      <c r="B77" s="114">
        <f>B76+(Basic!$Y$93/12)</f>
        <v>0</v>
      </c>
      <c r="C77" s="114">
        <f>C76+(Basic!$Y$94/12)</f>
        <v>0</v>
      </c>
      <c r="D77" s="114">
        <f>D76+(Basic!$Y$95/12)</f>
        <v>0</v>
      </c>
    </row>
    <row r="78" spans="1:4" x14ac:dyDescent="0.25">
      <c r="A78">
        <v>37</v>
      </c>
      <c r="B78" s="114">
        <f>B77+(Basic!$Y$93/12)</f>
        <v>0</v>
      </c>
      <c r="C78" s="114">
        <f>C77+(Basic!$Y$94/12)</f>
        <v>0</v>
      </c>
      <c r="D78" s="114">
        <f>D77+(Basic!$Y$95/12)</f>
        <v>0</v>
      </c>
    </row>
    <row r="79" spans="1:4" x14ac:dyDescent="0.25">
      <c r="A79">
        <v>38</v>
      </c>
      <c r="B79" s="114">
        <f>B78+(Basic!$Y$93/12)</f>
        <v>0</v>
      </c>
      <c r="C79" s="114">
        <f>C78+(Basic!$Y$94/12)</f>
        <v>0</v>
      </c>
      <c r="D79" s="114">
        <f>D78+(Basic!$Y$95/12)</f>
        <v>0</v>
      </c>
    </row>
    <row r="80" spans="1:4" x14ac:dyDescent="0.25">
      <c r="A80">
        <v>39</v>
      </c>
      <c r="B80" s="114">
        <f>B79+(Basic!$Y$93/12)</f>
        <v>0</v>
      </c>
      <c r="C80" s="114">
        <f>C79+(Basic!$Y$94/12)</f>
        <v>0</v>
      </c>
      <c r="D80" s="114">
        <f>D79+(Basic!$Y$95/12)</f>
        <v>0</v>
      </c>
    </row>
    <row r="81" spans="1:4" x14ac:dyDescent="0.25">
      <c r="A81">
        <v>40</v>
      </c>
      <c r="B81" s="114">
        <f>B80+(Basic!$Y$93/12)</f>
        <v>0</v>
      </c>
      <c r="C81" s="114">
        <f>C80+(Basic!$Y$94/12)</f>
        <v>0</v>
      </c>
      <c r="D81" s="114">
        <f>D80+(Basic!$Y$95/12)</f>
        <v>0</v>
      </c>
    </row>
    <row r="82" spans="1:4" x14ac:dyDescent="0.25">
      <c r="A82">
        <v>41</v>
      </c>
      <c r="B82" s="114">
        <f>B81+(Basic!$Y$93/12)</f>
        <v>0</v>
      </c>
      <c r="C82" s="114">
        <f>C81+(Basic!$Y$94/12)</f>
        <v>0</v>
      </c>
      <c r="D82" s="114">
        <f>D81+(Basic!$Y$95/12)</f>
        <v>0</v>
      </c>
    </row>
    <row r="83" spans="1:4" x14ac:dyDescent="0.25">
      <c r="A83">
        <v>42</v>
      </c>
      <c r="B83" s="114">
        <f>B82+(Basic!$Y$93/12)</f>
        <v>0</v>
      </c>
      <c r="C83" s="114">
        <f>C82+(Basic!$Y$94/12)</f>
        <v>0</v>
      </c>
      <c r="D83" s="114">
        <f>D82+(Basic!$Y$95/12)</f>
        <v>0</v>
      </c>
    </row>
    <row r="84" spans="1:4" x14ac:dyDescent="0.25">
      <c r="A84">
        <v>43</v>
      </c>
      <c r="B84" s="114">
        <f>B83+(Basic!$Y$93/12)</f>
        <v>0</v>
      </c>
      <c r="C84" s="114">
        <f>C83+(Basic!$Y$94/12)</f>
        <v>0</v>
      </c>
      <c r="D84" s="114">
        <f>D83+(Basic!$Y$95/12)</f>
        <v>0</v>
      </c>
    </row>
    <row r="85" spans="1:4" x14ac:dyDescent="0.25">
      <c r="A85">
        <v>44</v>
      </c>
      <c r="B85" s="114">
        <f>B84+(Basic!$Y$93/12)</f>
        <v>0</v>
      </c>
      <c r="C85" s="114">
        <f>C84+(Basic!$Y$94/12)</f>
        <v>0</v>
      </c>
      <c r="D85" s="114">
        <f>D84+(Basic!$Y$95/12)</f>
        <v>0</v>
      </c>
    </row>
    <row r="86" spans="1:4" x14ac:dyDescent="0.25">
      <c r="A86">
        <v>45</v>
      </c>
      <c r="B86" s="114">
        <f>B85+(Basic!$Y$93/12)</f>
        <v>0</v>
      </c>
      <c r="C86" s="114">
        <f>C85+(Basic!$Y$94/12)</f>
        <v>0</v>
      </c>
      <c r="D86" s="114">
        <f>D85+(Basic!$Y$95/12)</f>
        <v>0</v>
      </c>
    </row>
    <row r="87" spans="1:4" x14ac:dyDescent="0.25">
      <c r="A87">
        <v>46</v>
      </c>
      <c r="B87" s="114">
        <f>B86+(Basic!$Y$93/12)</f>
        <v>0</v>
      </c>
      <c r="C87" s="114">
        <f>C86+(Basic!$Y$94/12)</f>
        <v>0</v>
      </c>
      <c r="D87" s="114">
        <f>D86+(Basic!$Y$95/12)</f>
        <v>0</v>
      </c>
    </row>
    <row r="88" spans="1:4" x14ac:dyDescent="0.25">
      <c r="A88">
        <v>47</v>
      </c>
      <c r="B88" s="114">
        <f>B87+(Basic!$Y$93/12)</f>
        <v>0</v>
      </c>
      <c r="C88" s="114">
        <f>C87+(Basic!$Y$94/12)</f>
        <v>0</v>
      </c>
      <c r="D88" s="114">
        <f>D87+(Basic!$Y$95/12)</f>
        <v>0</v>
      </c>
    </row>
    <row r="89" spans="1:4" x14ac:dyDescent="0.25">
      <c r="A89">
        <v>48</v>
      </c>
      <c r="B89" s="114">
        <f>B88+(Basic!$Y$93/12)</f>
        <v>0</v>
      </c>
      <c r="C89" s="114">
        <f>C88+(Basic!$Y$94/12)</f>
        <v>0</v>
      </c>
      <c r="D89" s="114">
        <f>D88+(Basic!$Y$95/12)</f>
        <v>0</v>
      </c>
    </row>
    <row r="90" spans="1:4" x14ac:dyDescent="0.25">
      <c r="A90">
        <v>49</v>
      </c>
      <c r="B90" s="114">
        <f>B89+(Basic!$Y$93/12)</f>
        <v>0</v>
      </c>
      <c r="C90" s="114">
        <f>C89+(Basic!$Y$94/12)</f>
        <v>0</v>
      </c>
      <c r="D90" s="114">
        <f>D89+(Basic!$Y$95/12)</f>
        <v>0</v>
      </c>
    </row>
    <row r="91" spans="1:4" x14ac:dyDescent="0.25">
      <c r="A91">
        <v>50</v>
      </c>
      <c r="B91" s="114">
        <f>B90+(Basic!$Y$93/12)</f>
        <v>0</v>
      </c>
      <c r="C91" s="114">
        <f>C90+(Basic!$Y$94/12)</f>
        <v>0</v>
      </c>
      <c r="D91" s="114">
        <f>D90+(Basic!$Y$95/12)</f>
        <v>0</v>
      </c>
    </row>
    <row r="92" spans="1:4" x14ac:dyDescent="0.25">
      <c r="A92">
        <v>51</v>
      </c>
      <c r="B92" s="114">
        <f>B91+(Basic!$Y$93/12)</f>
        <v>0</v>
      </c>
      <c r="C92" s="114">
        <f>C91+(Basic!$Y$94/12)</f>
        <v>0</v>
      </c>
      <c r="D92" s="114">
        <f>D91+(Basic!$Y$95/12)</f>
        <v>0</v>
      </c>
    </row>
    <row r="93" spans="1:4" x14ac:dyDescent="0.25">
      <c r="A93">
        <v>52</v>
      </c>
      <c r="B93" s="114">
        <f>B92+(Basic!$Y$93/12)</f>
        <v>0</v>
      </c>
      <c r="C93" s="114">
        <f>C92+(Basic!$Y$94/12)</f>
        <v>0</v>
      </c>
      <c r="D93" s="114">
        <f>D92+(Basic!$Y$95/12)</f>
        <v>0</v>
      </c>
    </row>
    <row r="94" spans="1:4" x14ac:dyDescent="0.25">
      <c r="A94">
        <v>53</v>
      </c>
      <c r="B94" s="114">
        <f>B93+(Basic!$Y$93/12)</f>
        <v>0</v>
      </c>
      <c r="C94" s="114">
        <f>C93+(Basic!$Y$94/12)</f>
        <v>0</v>
      </c>
      <c r="D94" s="114">
        <f>D93+(Basic!$Y$95/12)</f>
        <v>0</v>
      </c>
    </row>
    <row r="95" spans="1:4" x14ac:dyDescent="0.25">
      <c r="A95">
        <v>54</v>
      </c>
      <c r="B95" s="114">
        <f>B94+(Basic!$Y$93/12)</f>
        <v>0</v>
      </c>
      <c r="C95" s="114">
        <f>C94+(Basic!$Y$94/12)</f>
        <v>0</v>
      </c>
      <c r="D95" s="114">
        <f>D94+(Basic!$Y$95/12)</f>
        <v>0</v>
      </c>
    </row>
    <row r="96" spans="1:4" x14ac:dyDescent="0.25">
      <c r="A96">
        <v>55</v>
      </c>
      <c r="B96" s="114">
        <f>B95+(Basic!$Y$93/12)</f>
        <v>0</v>
      </c>
      <c r="C96" s="114">
        <f>C95+(Basic!$Y$94/12)</f>
        <v>0</v>
      </c>
      <c r="D96" s="114">
        <f>D95+(Basic!$Y$95/12)</f>
        <v>0</v>
      </c>
    </row>
    <row r="97" spans="1:4" x14ac:dyDescent="0.25">
      <c r="A97">
        <v>56</v>
      </c>
      <c r="B97" s="114">
        <f>B96+(Basic!$Y$93/12)</f>
        <v>0</v>
      </c>
      <c r="C97" s="114">
        <f>C96+(Basic!$Y$94/12)</f>
        <v>0</v>
      </c>
      <c r="D97" s="114">
        <f>D96+(Basic!$Y$95/12)</f>
        <v>0</v>
      </c>
    </row>
    <row r="98" spans="1:4" x14ac:dyDescent="0.25">
      <c r="A98">
        <v>57</v>
      </c>
      <c r="B98" s="114">
        <f>B97+(Basic!$Y$93/12)</f>
        <v>0</v>
      </c>
      <c r="C98" s="114">
        <f>C97+(Basic!$Y$94/12)</f>
        <v>0</v>
      </c>
      <c r="D98" s="114">
        <f>D97+(Basic!$Y$95/12)</f>
        <v>0</v>
      </c>
    </row>
    <row r="99" spans="1:4" x14ac:dyDescent="0.25">
      <c r="A99">
        <v>58</v>
      </c>
      <c r="B99" s="114">
        <f>B98+(Basic!$Y$93/12)</f>
        <v>0</v>
      </c>
      <c r="C99" s="114">
        <f>C98+(Basic!$Y$94/12)</f>
        <v>0</v>
      </c>
      <c r="D99" s="114">
        <f>D98+(Basic!$Y$95/12)</f>
        <v>0</v>
      </c>
    </row>
    <row r="100" spans="1:4" x14ac:dyDescent="0.25">
      <c r="A100">
        <v>59</v>
      </c>
      <c r="B100" s="114">
        <f>B99+(Basic!$Y$93/12)</f>
        <v>0</v>
      </c>
      <c r="C100" s="114">
        <f>C99+(Basic!$Y$94/12)</f>
        <v>0</v>
      </c>
      <c r="D100" s="114">
        <f>D99+(Basic!$Y$95/12)</f>
        <v>0</v>
      </c>
    </row>
    <row r="101" spans="1:4" x14ac:dyDescent="0.25">
      <c r="A101">
        <v>60</v>
      </c>
      <c r="B101" s="114">
        <f>B100+(Basic!$Y$93/12)</f>
        <v>0</v>
      </c>
      <c r="C101" s="114">
        <f>C100+(Basic!$Y$94/12)</f>
        <v>0</v>
      </c>
      <c r="D101" s="114">
        <f>D100+(Basic!$Y$95/12)</f>
        <v>0</v>
      </c>
    </row>
  </sheetData>
  <mergeCells count="7">
    <mergeCell ref="A3:D3"/>
    <mergeCell ref="A24:D24"/>
    <mergeCell ref="A36:D36"/>
    <mergeCell ref="A23:D23"/>
    <mergeCell ref="A18:D18"/>
    <mergeCell ref="A11:D11"/>
    <mergeCell ref="A30:D30"/>
  </mergeCells>
  <dataValidations count="1">
    <dataValidation type="list" allowBlank="1" showInputMessage="1" showErrorMessage="1" sqref="A25">
      <formula1>"Preference,Cordless,Corded"</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L1275"/>
  <sheetViews>
    <sheetView zoomScale="85" zoomScaleNormal="85" workbookViewId="0">
      <selection activeCell="D26" sqref="D26"/>
    </sheetView>
  </sheetViews>
  <sheetFormatPr defaultRowHeight="15" x14ac:dyDescent="0.25"/>
  <cols>
    <col min="1" max="1" width="24" customWidth="1"/>
    <col min="2" max="8" width="8.85546875" style="14"/>
    <col min="9" max="12" width="10" style="20" customWidth="1"/>
    <col min="13" max="13" width="13.5703125" customWidth="1"/>
    <col min="14" max="14" width="18.7109375" customWidth="1"/>
    <col min="15" max="15" width="5.140625" customWidth="1"/>
    <col min="16" max="16" width="11" customWidth="1"/>
    <col min="17" max="17" width="9.7109375" customWidth="1"/>
    <col min="19" max="19" width="9.42578125" customWidth="1"/>
    <col min="20" max="20" width="18.5703125" customWidth="1"/>
    <col min="22" max="22" width="11.42578125" bestFit="1" customWidth="1"/>
    <col min="23" max="23" width="6.85546875" customWidth="1"/>
    <col min="24" max="24" width="12.7109375" bestFit="1" customWidth="1"/>
    <col min="25" max="25" width="12" bestFit="1" customWidth="1"/>
    <col min="26" max="26" width="19.7109375" customWidth="1"/>
    <col min="27" max="27" width="16.7109375" bestFit="1" customWidth="1"/>
  </cols>
  <sheetData>
    <row r="1" spans="1:64" ht="76.5" x14ac:dyDescent="0.25">
      <c r="A1" s="2" t="s">
        <v>18</v>
      </c>
      <c r="B1" s="11" t="s">
        <v>24</v>
      </c>
      <c r="C1" s="13" t="s">
        <v>35</v>
      </c>
      <c r="D1" s="13" t="s">
        <v>19</v>
      </c>
      <c r="E1" s="13" t="s">
        <v>20</v>
      </c>
      <c r="F1" s="13" t="s">
        <v>21</v>
      </c>
      <c r="G1" s="13" t="s">
        <v>22</v>
      </c>
      <c r="H1" s="13" t="s">
        <v>23</v>
      </c>
      <c r="I1" s="17" t="s">
        <v>51</v>
      </c>
      <c r="J1" s="17" t="s">
        <v>50</v>
      </c>
      <c r="K1" s="17" t="s">
        <v>53</v>
      </c>
      <c r="L1" s="17" t="s">
        <v>54</v>
      </c>
      <c r="M1" s="10" t="s">
        <v>536</v>
      </c>
      <c r="AR1" s="84" t="s">
        <v>229</v>
      </c>
      <c r="AS1" s="17" t="s">
        <v>102</v>
      </c>
      <c r="AW1" s="17" t="s">
        <v>101</v>
      </c>
      <c r="AZ1" t="s">
        <v>122</v>
      </c>
      <c r="BA1" t="s">
        <v>117</v>
      </c>
      <c r="BB1" t="s">
        <v>118</v>
      </c>
      <c r="BC1" t="s">
        <v>119</v>
      </c>
      <c r="BD1" t="s">
        <v>120</v>
      </c>
      <c r="BE1" t="s">
        <v>121</v>
      </c>
    </row>
    <row r="2" spans="1:64" x14ac:dyDescent="0.25">
      <c r="A2" s="2"/>
      <c r="B2" s="11"/>
      <c r="C2" s="13"/>
      <c r="D2" s="13"/>
      <c r="E2" s="13"/>
      <c r="F2" s="13"/>
      <c r="G2" s="13"/>
      <c r="H2" s="13"/>
      <c r="I2" s="17"/>
      <c r="J2" s="17"/>
      <c r="K2" s="17"/>
      <c r="L2" s="17"/>
      <c r="M2" s="10"/>
      <c r="N2" s="342" t="s">
        <v>537</v>
      </c>
      <c r="O2" s="342"/>
      <c r="P2" s="342"/>
      <c r="Q2" s="342"/>
      <c r="R2" s="26"/>
      <c r="S2" s="26"/>
      <c r="T2" s="26"/>
      <c r="AZ2">
        <v>1</v>
      </c>
      <c r="BA2">
        <v>5</v>
      </c>
      <c r="BB2">
        <v>100</v>
      </c>
      <c r="BC2">
        <v>5.3000001907348597</v>
      </c>
      <c r="BD2">
        <v>4.5999999046325701</v>
      </c>
      <c r="BE2">
        <v>25.899999618530298</v>
      </c>
      <c r="BG2">
        <v>1</v>
      </c>
      <c r="BH2">
        <v>25</v>
      </c>
      <c r="BI2">
        <v>21.700000762939499</v>
      </c>
      <c r="BJ2">
        <v>115</v>
      </c>
      <c r="BK2">
        <v>26.299999237060501</v>
      </c>
      <c r="BL2">
        <v>21.700000762939499</v>
      </c>
    </row>
    <row r="3" spans="1:64" x14ac:dyDescent="0.25">
      <c r="A3" s="2" t="s">
        <v>25</v>
      </c>
      <c r="B3" s="11"/>
      <c r="C3" s="13"/>
      <c r="D3" s="13"/>
      <c r="E3" s="13"/>
      <c r="F3" s="13"/>
      <c r="G3" s="13"/>
      <c r="H3" s="13"/>
      <c r="I3" s="17"/>
      <c r="J3" s="17"/>
      <c r="K3" s="17"/>
      <c r="L3" s="17"/>
      <c r="M3" s="10"/>
      <c r="N3" s="53" t="s">
        <v>281</v>
      </c>
      <c r="O3" t="s">
        <v>282</v>
      </c>
      <c r="P3" s="53" t="s">
        <v>249</v>
      </c>
      <c r="Q3" s="53" t="s">
        <v>116</v>
      </c>
      <c r="AX3" s="30" t="s">
        <v>83</v>
      </c>
      <c r="AZ3">
        <v>1</v>
      </c>
      <c r="BA3">
        <v>5</v>
      </c>
      <c r="BB3">
        <v>100</v>
      </c>
      <c r="BC3">
        <v>5.5</v>
      </c>
      <c r="BD3">
        <v>4.8000001907348597</v>
      </c>
      <c r="BE3">
        <v>25.899999618530298</v>
      </c>
      <c r="BG3">
        <v>1</v>
      </c>
      <c r="BH3">
        <v>25</v>
      </c>
      <c r="BI3">
        <v>21.700000762939499</v>
      </c>
      <c r="BJ3">
        <v>115</v>
      </c>
      <c r="BK3">
        <v>27.5</v>
      </c>
      <c r="BL3">
        <v>22.700000762939499</v>
      </c>
    </row>
    <row r="4" spans="1:64" x14ac:dyDescent="0.25">
      <c r="A4" s="61" t="s">
        <v>6</v>
      </c>
      <c r="B4" s="5">
        <v>90</v>
      </c>
      <c r="C4" s="5">
        <v>13</v>
      </c>
      <c r="D4" s="5">
        <v>30</v>
      </c>
      <c r="E4" s="5">
        <v>19</v>
      </c>
      <c r="F4" s="5"/>
      <c r="G4" s="5"/>
      <c r="H4" s="5"/>
      <c r="I4" s="203">
        <v>2017</v>
      </c>
      <c r="J4" s="203">
        <v>2017</v>
      </c>
      <c r="K4" s="18"/>
      <c r="L4" s="18"/>
      <c r="M4" s="4"/>
      <c r="AX4" s="30" t="s">
        <v>84</v>
      </c>
      <c r="AZ4">
        <v>1</v>
      </c>
      <c r="BA4">
        <v>5</v>
      </c>
      <c r="BB4">
        <v>100</v>
      </c>
      <c r="BC4">
        <v>5.5</v>
      </c>
      <c r="BD4">
        <v>4.8000001907348597</v>
      </c>
      <c r="BE4">
        <v>25.899999618530298</v>
      </c>
      <c r="BG4">
        <v>1</v>
      </c>
      <c r="BH4">
        <v>25</v>
      </c>
      <c r="BI4">
        <v>21.700000762939499</v>
      </c>
      <c r="BJ4">
        <v>115</v>
      </c>
      <c r="BK4">
        <v>27.5</v>
      </c>
      <c r="BL4">
        <v>22.700000762939499</v>
      </c>
    </row>
    <row r="5" spans="1:64" x14ac:dyDescent="0.25">
      <c r="A5" s="6" t="s">
        <v>29</v>
      </c>
      <c r="B5" s="7">
        <v>90</v>
      </c>
      <c r="C5" s="5">
        <v>13</v>
      </c>
      <c r="D5" s="5">
        <v>26</v>
      </c>
      <c r="E5" s="15">
        <f>AVERAGE(16,24,22,22,17,17,21,23,20,22,17,24,16,21,25,25,17,17,24,22,19,17,22,24,13,23,26,23,24,25.4,25)</f>
        <v>21.07741935483871</v>
      </c>
      <c r="F5" s="7">
        <v>3.5</v>
      </c>
      <c r="G5" s="7">
        <v>7.5</v>
      </c>
      <c r="H5" s="15">
        <f>AVERAGE(7.5,3.5,7,7,7,7,7.5,7.5,7.5)</f>
        <v>6.833333333333333</v>
      </c>
      <c r="I5" s="19">
        <f>AVERAGE(180.25,253.75,265.25,251.5,410.5,413.5,500.5,520.5,563.5,552.5,497.33,370,340.25,328,306.5,340,398.75,391,134.95,277.25,202,236.25,287.5,401,477.75,477.75)</f>
        <v>360.69346153846152</v>
      </c>
      <c r="J5" s="19">
        <f>AVERAGE(568.5,453.75,495,295.5,534.5,484,1164,385,348.25,236,239.75,297,536,357.25,461.75,358)</f>
        <v>450.890625</v>
      </c>
      <c r="K5" s="19">
        <f>AVERAGE(285.25,281.75,306.25,309,320.5,245.75,248.5,259.25,246,125.3,256.25)</f>
        <v>262.16363636363639</v>
      </c>
      <c r="L5" s="19">
        <f>AVERAGE(562.5,449.25,450.25,461,352.25,629.5,489,629.5,713,729.5,397.97,368.33,381.75,381.75,381.75,772.5,762,773.5,669.5,728.5,750,603,488,722.5,673,567,474,723.5,715,592.5,592.5,446.25,349.75,625,797.5,652,670,575,383.75,597,435.25,413.5,685,322.05,423,629.5,584,362.75,409,339,830.5,691.5,620.5)</f>
        <v>562.75660377358486</v>
      </c>
      <c r="M5" s="6">
        <f>AVERAGE(193,210,176,151,159,321,321,179,372,315,269,244,364,457,439,361,171,245,192,218,192,263,229,323,364)</f>
        <v>269.12</v>
      </c>
      <c r="N5" s="101">
        <f>I5</f>
        <v>360.69346153846152</v>
      </c>
      <c r="O5" s="101">
        <f>J5</f>
        <v>450.890625</v>
      </c>
      <c r="P5" s="101">
        <f>K5</f>
        <v>262.16363636363639</v>
      </c>
      <c r="Q5" s="101">
        <f>L5</f>
        <v>562.75660377358486</v>
      </c>
      <c r="R5" s="101">
        <v>174.928</v>
      </c>
      <c r="S5" s="42">
        <f>Q5-R5</f>
        <v>387.82860377358486</v>
      </c>
      <c r="T5">
        <f>H5/E5</f>
        <v>0.32420161208039994</v>
      </c>
      <c r="AR5" s="20">
        <f t="shared" ref="AR5:AR20" si="0">L5-M5</f>
        <v>293.63660377358485</v>
      </c>
      <c r="AS5">
        <f>AVERAGE(110,150,26,300,300,300,345,345,300,240,345)</f>
        <v>251</v>
      </c>
      <c r="AT5">
        <f t="shared" ref="AT5:AT20" si="1">E5/H5</f>
        <v>3.0845003933910311</v>
      </c>
      <c r="AU5">
        <f t="shared" ref="AU5:AU13" si="2">I5/K5</f>
        <v>1.3758333022134255</v>
      </c>
      <c r="AV5">
        <f t="shared" ref="AV5:AV13" si="3">L5/K5</f>
        <v>2.146585283830166</v>
      </c>
      <c r="AW5" s="20">
        <f>AVERAGE(200,350,350,350,350,400,900,550,200,400,400,400,550,550,305,450,450,580,580,522,522,350,600,600)</f>
        <v>454.54166666666669</v>
      </c>
      <c r="AX5" s="30" t="s">
        <v>85</v>
      </c>
      <c r="AZ5">
        <v>1</v>
      </c>
      <c r="BA5">
        <v>5</v>
      </c>
      <c r="BB5">
        <v>100</v>
      </c>
      <c r="BC5">
        <v>5.3000001907348597</v>
      </c>
      <c r="BD5">
        <v>4.5999999046325701</v>
      </c>
      <c r="BE5">
        <v>25.899999618530298</v>
      </c>
      <c r="BG5">
        <v>1</v>
      </c>
      <c r="BH5">
        <v>25</v>
      </c>
      <c r="BI5">
        <v>21.700000762939499</v>
      </c>
      <c r="BJ5">
        <v>115</v>
      </c>
      <c r="BK5">
        <v>26.299999237060501</v>
      </c>
      <c r="BL5">
        <v>21.700000762939499</v>
      </c>
    </row>
    <row r="6" spans="1:64" x14ac:dyDescent="0.25">
      <c r="A6" s="6" t="s">
        <v>43</v>
      </c>
      <c r="B6" s="7">
        <v>90</v>
      </c>
      <c r="C6" s="5">
        <v>24</v>
      </c>
      <c r="D6" s="5">
        <v>60</v>
      </c>
      <c r="E6" s="15">
        <f>AVERAGE(30,30,24,28,30,38,32,31,38,38,42,42,28,46,60)</f>
        <v>35.799999999999997</v>
      </c>
      <c r="F6" s="7">
        <v>7</v>
      </c>
      <c r="G6" s="7">
        <v>7.5</v>
      </c>
      <c r="H6" s="15">
        <f>AVERAGE(7.5,7,7.5)</f>
        <v>7.333333333333333</v>
      </c>
      <c r="I6" s="19">
        <f>AVERAGE(617,746,784,830,502.5,711,611.5,729,628,792,862.5)</f>
        <v>710.31818181818187</v>
      </c>
      <c r="J6" s="19">
        <f>AVERAGE(2888,1280,683.5,2318.98,2427.25,788,1043)</f>
        <v>1632.6757142857143</v>
      </c>
      <c r="K6" s="19">
        <f>AVERAGE(338,792,784,402.5)</f>
        <v>579.125</v>
      </c>
      <c r="L6" s="19">
        <f>AVERAGE(863.5,868,860.5,686.5,896,679,657,657,432.5,734.5)</f>
        <v>733.45</v>
      </c>
      <c r="M6" s="6">
        <f>AVERAGE(348,365,325)</f>
        <v>346</v>
      </c>
      <c r="N6" s="101">
        <f t="shared" ref="N6:N20" si="4">I6</f>
        <v>710.31818181818187</v>
      </c>
      <c r="O6" s="101">
        <f t="shared" ref="O6:O20" si="5">J6</f>
        <v>1632.6757142857143</v>
      </c>
      <c r="P6" s="101">
        <f t="shared" ref="P6:P20" si="6">K6</f>
        <v>579.125</v>
      </c>
      <c r="Q6" s="101">
        <f t="shared" ref="Q6:Q20" si="7">L6</f>
        <v>733.45</v>
      </c>
      <c r="R6" s="101">
        <v>224.9</v>
      </c>
      <c r="S6" s="42">
        <f t="shared" ref="S6:S20" si="8">Q6-R6</f>
        <v>508.55000000000007</v>
      </c>
      <c r="T6">
        <f t="shared" ref="T6:T20" si="9">H6/E6</f>
        <v>0.2048417132216015</v>
      </c>
      <c r="AR6" s="20">
        <f t="shared" si="0"/>
        <v>387.45000000000005</v>
      </c>
      <c r="AT6">
        <f t="shared" si="1"/>
        <v>4.8818181818181818</v>
      </c>
      <c r="AU6">
        <f t="shared" si="2"/>
        <v>1.2265368993191139</v>
      </c>
      <c r="AV6">
        <f t="shared" si="3"/>
        <v>1.2664796028491259</v>
      </c>
      <c r="AX6" s="30" t="s">
        <v>86</v>
      </c>
      <c r="AZ6">
        <v>1</v>
      </c>
      <c r="BA6">
        <v>5</v>
      </c>
      <c r="BB6">
        <v>100</v>
      </c>
      <c r="BC6">
        <v>5.3000001907348597</v>
      </c>
      <c r="BD6">
        <v>4.5999999046325701</v>
      </c>
      <c r="BE6">
        <v>25.899999618530298</v>
      </c>
      <c r="BG6">
        <v>1</v>
      </c>
      <c r="BH6">
        <v>25</v>
      </c>
      <c r="BI6">
        <v>21.700000762939499</v>
      </c>
      <c r="BJ6">
        <v>115</v>
      </c>
      <c r="BK6">
        <v>26.299999237060501</v>
      </c>
      <c r="BL6">
        <v>21.700000762939499</v>
      </c>
    </row>
    <row r="7" spans="1:64" x14ac:dyDescent="0.25">
      <c r="A7" s="6" t="s">
        <v>30</v>
      </c>
      <c r="B7" s="5">
        <v>90</v>
      </c>
      <c r="C7" s="5">
        <v>15.2</v>
      </c>
      <c r="D7" s="5">
        <v>30</v>
      </c>
      <c r="E7" s="15">
        <f>AVERAGE(4,4,4,4,5.25,5.25,4,4,4,4,6,5.3,4.7,7.5,7.4,7.4,7.4)*4</f>
        <v>20.752941176470593</v>
      </c>
      <c r="F7" s="7">
        <v>4.9000000000000004</v>
      </c>
      <c r="G7" s="7">
        <v>8</v>
      </c>
      <c r="H7" s="15">
        <f>AVERAGE(6.7,7,8,8,8,7,7,7,8,4.9,4.9,6)</f>
        <v>6.8750000000000009</v>
      </c>
      <c r="I7" s="19">
        <f>AVERAGE(185.5,177.25,191,170,200,241.5,264.75,193.25,262.5,169.75,128.35,193.5,182)</f>
        <v>196.87307692307692</v>
      </c>
      <c r="J7" s="6">
        <f>AVERAGE(729.5,666,152,440.75,353.5,340.25,893,951.5,965.5,516.5,458.25,356.25,356.25)</f>
        <v>552.25</v>
      </c>
      <c r="K7" s="19">
        <f>AVERAGE(105.7,115.65,109.2,114.05,52.1,150.5,209.75,187,174,175,104.65,96.3,82.1)</f>
        <v>128.92307692307693</v>
      </c>
      <c r="L7" s="19">
        <f>AVERAGE(147.25,216.25,293,175.25,291.25,250,195,205,198,192.75,159,272)</f>
        <v>216.22916666666666</v>
      </c>
      <c r="M7" s="6">
        <f>AVERAGE(110,123,95,92,154,116,136)</f>
        <v>118</v>
      </c>
      <c r="N7" s="101">
        <f t="shared" si="4"/>
        <v>196.87307692307692</v>
      </c>
      <c r="O7" s="101">
        <f t="shared" si="5"/>
        <v>552.25</v>
      </c>
      <c r="P7" s="101">
        <f t="shared" si="6"/>
        <v>128.92307692307693</v>
      </c>
      <c r="Q7" s="101">
        <f t="shared" si="7"/>
        <v>216.22916666666666</v>
      </c>
      <c r="R7" s="101">
        <v>76.7</v>
      </c>
      <c r="S7" s="42">
        <f t="shared" si="8"/>
        <v>139.52916666666664</v>
      </c>
      <c r="T7">
        <f t="shared" si="9"/>
        <v>0.33127834467120176</v>
      </c>
      <c r="AR7" s="20">
        <f t="shared" si="0"/>
        <v>98.229166666666657</v>
      </c>
      <c r="AT7">
        <f t="shared" si="1"/>
        <v>3.0186096256684496</v>
      </c>
      <c r="AU7">
        <f t="shared" si="2"/>
        <v>1.5270584725536991</v>
      </c>
      <c r="AV7">
        <f t="shared" si="3"/>
        <v>1.6771952068416864</v>
      </c>
      <c r="AW7" t="s">
        <v>103</v>
      </c>
      <c r="AX7" s="30" t="s">
        <v>88</v>
      </c>
      <c r="AZ7">
        <v>1</v>
      </c>
      <c r="BA7">
        <v>5</v>
      </c>
      <c r="BB7">
        <v>125</v>
      </c>
      <c r="BC7">
        <v>5.3000001907348597</v>
      </c>
      <c r="BD7">
        <v>4.5999999046325701</v>
      </c>
      <c r="BE7">
        <v>26.299999237060501</v>
      </c>
      <c r="BG7">
        <v>1</v>
      </c>
      <c r="BH7">
        <v>30</v>
      </c>
      <c r="BI7">
        <v>21</v>
      </c>
      <c r="BJ7">
        <v>115</v>
      </c>
      <c r="BK7">
        <v>31.5</v>
      </c>
      <c r="BL7">
        <v>25.799999237060501</v>
      </c>
    </row>
    <row r="8" spans="1:64" x14ac:dyDescent="0.25">
      <c r="A8" s="6" t="s">
        <v>36</v>
      </c>
      <c r="B8" s="5">
        <v>90</v>
      </c>
      <c r="C8" s="5"/>
      <c r="D8" s="5"/>
      <c r="E8" s="15">
        <f>AVERAGE(4.1,4,6,4,4,7.5,7.4,7.4)*4</f>
        <v>22.2</v>
      </c>
      <c r="F8" s="7">
        <v>5.5</v>
      </c>
      <c r="G8" s="7">
        <v>10.5</v>
      </c>
      <c r="H8" s="15">
        <f>AVERAGE(7.8,7.8,7.8,10,10,10.5,8,8,8,5.5,6.5,8)</f>
        <v>8.1583333333333332</v>
      </c>
      <c r="I8" s="19">
        <f>AVERAGE(303,223.5,285.75,358.25,290.75,298.75,193.75,215,392.5)</f>
        <v>284.58333333333331</v>
      </c>
      <c r="J8" s="19">
        <f>AVERAGE(679,406.75,339,1030,950,453,430)</f>
        <v>612.53571428571433</v>
      </c>
      <c r="K8" s="19">
        <f>AVERAGE(185.75,249.25,205.75,225,249,91.2,187.5,172.25,136,181,192.5,241.25,145,229.25,189,142.4,219,165,201.75)</f>
        <v>189.88684210526316</v>
      </c>
      <c r="L8" s="19">
        <f>AVERAGE(256.75,230.61,306.75,437,264.25,343.5,158.5,199,306.5,301.75,259,376.75,418.75,556.5,577.5,376.75,125.2,187,234.5,385.5,395.75,357,231,258.75,271.25,395,446.5,240,658.75,390,576.5,584,604,633.5,880,296,289,263,234,238,238,265,229,302,365,393,495,125,235,386,507,228,254,418,494,486,309,241,409,493,608,645,608,721,759,683,721,569,853,815,701)</f>
        <v>409.84591549295777</v>
      </c>
      <c r="M8" s="6">
        <f>AVERAGE(182,128,170,145,230,159,119,183,154,122,141,180,171,192,127,224,250,190,219,172,209)</f>
        <v>174.61904761904762</v>
      </c>
      <c r="N8" s="101">
        <f t="shared" si="4"/>
        <v>284.58333333333331</v>
      </c>
      <c r="O8" s="101">
        <f t="shared" si="5"/>
        <v>612.53571428571433</v>
      </c>
      <c r="P8" s="101">
        <f t="shared" si="6"/>
        <v>189.88684210526316</v>
      </c>
      <c r="Q8" s="101">
        <f t="shared" si="7"/>
        <v>409.84591549295777</v>
      </c>
      <c r="R8" s="101">
        <v>113.50238095238096</v>
      </c>
      <c r="S8" s="42">
        <f t="shared" si="8"/>
        <v>296.3435345405768</v>
      </c>
      <c r="T8">
        <f t="shared" si="9"/>
        <v>0.3674924924924925</v>
      </c>
      <c r="AR8" s="20">
        <f t="shared" si="0"/>
        <v>235.22686787391015</v>
      </c>
      <c r="AT8">
        <f t="shared" si="1"/>
        <v>2.7211440245148109</v>
      </c>
      <c r="AU8">
        <f t="shared" si="2"/>
        <v>1.4986995948649009</v>
      </c>
      <c r="AV8">
        <f t="shared" si="3"/>
        <v>2.1583692211056995</v>
      </c>
      <c r="AW8" t="s">
        <v>103</v>
      </c>
      <c r="AX8" s="30" t="s">
        <v>87</v>
      </c>
      <c r="AZ8">
        <v>1</v>
      </c>
      <c r="BA8">
        <v>5</v>
      </c>
      <c r="BB8">
        <v>125</v>
      </c>
      <c r="BC8">
        <v>5.5</v>
      </c>
      <c r="BD8">
        <v>4.8000001907348597</v>
      </c>
      <c r="BE8">
        <v>26.299999237060501</v>
      </c>
      <c r="BG8">
        <v>1</v>
      </c>
      <c r="BH8">
        <v>30</v>
      </c>
      <c r="BI8">
        <v>21</v>
      </c>
      <c r="BJ8">
        <v>115</v>
      </c>
      <c r="BK8">
        <v>33</v>
      </c>
      <c r="BL8">
        <v>27.100000381469702</v>
      </c>
    </row>
    <row r="9" spans="1:64" x14ac:dyDescent="0.25">
      <c r="A9" s="6" t="s">
        <v>37</v>
      </c>
      <c r="B9" s="5">
        <v>90</v>
      </c>
      <c r="C9" s="5"/>
      <c r="D9" s="5"/>
      <c r="E9" s="15">
        <f>AVERAGE(5.3,4,4,3.3)*4</f>
        <v>16.600000000000001</v>
      </c>
      <c r="F9" s="7">
        <v>3.5</v>
      </c>
      <c r="G9" s="7">
        <v>4</v>
      </c>
      <c r="H9" s="15">
        <f>AVERAGE(3.5,4,4)</f>
        <v>3.8333333333333335</v>
      </c>
      <c r="I9" s="19">
        <f>AVERAGE(170.5,162.25,139.5)</f>
        <v>157.41666666666666</v>
      </c>
      <c r="J9" s="19">
        <f>AVERAGE(1339)</f>
        <v>1339</v>
      </c>
      <c r="K9" s="23">
        <f>AVERAGE(216,191,315)</f>
        <v>240.66666666666666</v>
      </c>
      <c r="L9" s="19">
        <f>AVERAGE(529,425,218,597,517)</f>
        <v>457.2</v>
      </c>
      <c r="M9" s="6">
        <f>AVERAGE(169,123,134,152,140,255,258)</f>
        <v>175.85714285714286</v>
      </c>
      <c r="N9" s="101">
        <f t="shared" si="4"/>
        <v>157.41666666666666</v>
      </c>
      <c r="O9" s="101">
        <f t="shared" si="5"/>
        <v>1339</v>
      </c>
      <c r="P9" s="101">
        <f t="shared" si="6"/>
        <v>240.66666666666666</v>
      </c>
      <c r="Q9" s="101">
        <f t="shared" si="7"/>
        <v>457.2</v>
      </c>
      <c r="R9" s="101">
        <v>114.30714285714286</v>
      </c>
      <c r="S9" s="42">
        <f t="shared" si="8"/>
        <v>342.89285714285711</v>
      </c>
      <c r="T9">
        <f t="shared" si="9"/>
        <v>0.23092369477911645</v>
      </c>
      <c r="AR9" s="20">
        <f t="shared" si="0"/>
        <v>281.34285714285716</v>
      </c>
      <c r="AT9">
        <f t="shared" si="1"/>
        <v>4.3304347826086955</v>
      </c>
      <c r="AU9">
        <f t="shared" si="2"/>
        <v>0.65408587257617723</v>
      </c>
      <c r="AV9">
        <f t="shared" si="3"/>
        <v>1.8997229916897507</v>
      </c>
      <c r="AW9" t="s">
        <v>103</v>
      </c>
      <c r="AZ9">
        <v>1</v>
      </c>
      <c r="BA9">
        <v>5</v>
      </c>
      <c r="BB9">
        <v>125</v>
      </c>
      <c r="BC9">
        <v>5.5</v>
      </c>
      <c r="BD9">
        <v>4.8000001907348597</v>
      </c>
      <c r="BE9">
        <v>26.299999237060501</v>
      </c>
      <c r="BG9">
        <v>1</v>
      </c>
      <c r="BH9">
        <v>30</v>
      </c>
      <c r="BI9">
        <v>21</v>
      </c>
      <c r="BJ9">
        <v>115</v>
      </c>
      <c r="BK9">
        <v>33</v>
      </c>
      <c r="BL9">
        <v>27.100000381469702</v>
      </c>
    </row>
    <row r="10" spans="1:64" x14ac:dyDescent="0.25">
      <c r="A10" s="6" t="s">
        <v>38</v>
      </c>
      <c r="B10" s="5">
        <v>90</v>
      </c>
      <c r="C10" s="5"/>
      <c r="D10" s="5"/>
      <c r="E10" s="15">
        <f>AVERAGE(26,13.6)</f>
        <v>19.8</v>
      </c>
      <c r="F10" s="7">
        <v>7</v>
      </c>
      <c r="G10" s="7">
        <v>13</v>
      </c>
      <c r="H10" s="15">
        <f>AVERAGE(7,7,7,7.5,7.5,11.5,13)</f>
        <v>8.6428571428571423</v>
      </c>
      <c r="I10" s="23">
        <f>I9*AVERAGE((I8/I7),(K8/K7),(K10/K9))</f>
        <v>254.75231247387123</v>
      </c>
      <c r="J10" s="19">
        <f>AVERAGE(1513)</f>
        <v>1513</v>
      </c>
      <c r="K10" s="19">
        <f>AVERAGE(416.25,483.75,334,348,444.5,551,566,516,555.5,501.5,438,369,535.5)</f>
        <v>466.07692307692309</v>
      </c>
      <c r="L10" s="19">
        <f>AVERAGE(592,773,770,762,479)</f>
        <v>675.2</v>
      </c>
      <c r="M10" s="6">
        <f>AVERAGE(309,463,374,189,167,279)</f>
        <v>296.83333333333331</v>
      </c>
      <c r="N10" s="101">
        <f t="shared" si="4"/>
        <v>254.75231247387123</v>
      </c>
      <c r="O10" s="101">
        <f t="shared" si="5"/>
        <v>1513</v>
      </c>
      <c r="P10" s="101">
        <f t="shared" si="6"/>
        <v>466.07692307692309</v>
      </c>
      <c r="Q10" s="101">
        <f t="shared" si="7"/>
        <v>675.2</v>
      </c>
      <c r="R10" s="101">
        <v>192.94166666666666</v>
      </c>
      <c r="S10" s="42">
        <f t="shared" si="8"/>
        <v>482.25833333333338</v>
      </c>
      <c r="T10">
        <f t="shared" si="9"/>
        <v>0.43650793650793646</v>
      </c>
      <c r="AR10" s="20">
        <f t="shared" si="0"/>
        <v>378.36666666666673</v>
      </c>
      <c r="AT10">
        <f t="shared" si="1"/>
        <v>2.290909090909091</v>
      </c>
      <c r="AU10">
        <f t="shared" si="2"/>
        <v>0.54658855622385305</v>
      </c>
      <c r="AV10">
        <f t="shared" si="3"/>
        <v>1.4486879022941079</v>
      </c>
      <c r="AW10" t="s">
        <v>103</v>
      </c>
      <c r="AZ10">
        <v>1</v>
      </c>
      <c r="BA10">
        <v>5</v>
      </c>
      <c r="BB10">
        <v>125</v>
      </c>
      <c r="BC10">
        <v>5.3000001907348597</v>
      </c>
      <c r="BD10">
        <v>4.5999999046325701</v>
      </c>
      <c r="BE10">
        <v>26.299999237060501</v>
      </c>
      <c r="BG10">
        <v>1</v>
      </c>
      <c r="BH10">
        <v>30</v>
      </c>
      <c r="BI10">
        <v>21</v>
      </c>
      <c r="BJ10">
        <v>115</v>
      </c>
      <c r="BK10">
        <v>31.5</v>
      </c>
      <c r="BL10">
        <v>25.799999237060501</v>
      </c>
    </row>
    <row r="11" spans="1:64" x14ac:dyDescent="0.25">
      <c r="A11" s="6" t="s">
        <v>31</v>
      </c>
      <c r="B11" s="5">
        <v>90</v>
      </c>
      <c r="C11" s="5">
        <v>16</v>
      </c>
      <c r="D11" s="5">
        <v>41</v>
      </c>
      <c r="E11" s="22">
        <f>AVERAGE(29.7,25,25,16,23.3,36,24,36,41,36,40,32,26)</f>
        <v>30</v>
      </c>
      <c r="F11" s="7">
        <v>6</v>
      </c>
      <c r="G11" s="7">
        <v>13</v>
      </c>
      <c r="H11" s="15">
        <f>AVERAGE(9,10,13,13,13,11,11,10,9,9,7.5,7.5,11,1,11,11,8.5,10.5,7.5,7.5,10,6,13,8.5,11,7,13,11,8.5,8.5,8.5,12,6,6,10,7,7,11,11,7.5,13,13)</f>
        <v>9.5119047619047628</v>
      </c>
      <c r="I11" s="19">
        <f>AVERAGE(283.5,374.5,265,263.25)</f>
        <v>296.5625</v>
      </c>
      <c r="J11" s="19">
        <f>AVERAGE(975.5,442,75,283.25,383.5,383.5,727.5,375,699.5,1127)</f>
        <v>547.17499999999995</v>
      </c>
      <c r="K11" s="19">
        <f>AVERAGE(135,216.7,216.7,216.7,47,74.25,137.4,137.4,137.4,185.5,185.5,118.9,83.85,80,154.2,60.04,170.25,53.3,205.6,119,139.8,142,143.1,59,29.09,153.7,126.5,130.8,54.54,75.95,85.02,66.5,73.39,94.05,94.05,94.05,69,58.24,122.6,122.9,98.31,102.2,93.28,100.5,88.97,66.3,82.18,135,89,85,88,99,99)</f>
        <v>111.23981132075474</v>
      </c>
      <c r="L11" s="19">
        <f>AVERAGE(453,472,450)</f>
        <v>458.33333333333331</v>
      </c>
      <c r="M11" s="6">
        <f>AVERAGE(253,259,175,229,246,235)</f>
        <v>232.83333333333334</v>
      </c>
      <c r="N11" s="101">
        <f t="shared" si="4"/>
        <v>296.5625</v>
      </c>
      <c r="O11" s="101">
        <f t="shared" si="5"/>
        <v>547.17499999999995</v>
      </c>
      <c r="P11" s="101">
        <f t="shared" si="6"/>
        <v>111.23981132075474</v>
      </c>
      <c r="Q11" s="101">
        <f t="shared" si="7"/>
        <v>458.33333333333331</v>
      </c>
      <c r="R11" s="101">
        <v>151.34166666666667</v>
      </c>
      <c r="S11" s="42">
        <f t="shared" si="8"/>
        <v>306.99166666666667</v>
      </c>
      <c r="T11">
        <f t="shared" si="9"/>
        <v>0.3170634920634921</v>
      </c>
      <c r="AR11" s="20">
        <f t="shared" si="0"/>
        <v>225.49999999999997</v>
      </c>
      <c r="AT11">
        <f t="shared" si="1"/>
        <v>3.1539424280350437</v>
      </c>
      <c r="AU11">
        <f t="shared" si="2"/>
        <v>2.6659744967103194</v>
      </c>
      <c r="AV11">
        <f t="shared" si="3"/>
        <v>4.1202275326748872</v>
      </c>
      <c r="AW11" t="s">
        <v>104</v>
      </c>
      <c r="AZ11">
        <v>1</v>
      </c>
      <c r="BA11">
        <v>5</v>
      </c>
      <c r="BB11">
        <v>125</v>
      </c>
      <c r="BC11">
        <v>5.3000001907348597</v>
      </c>
      <c r="BD11">
        <v>4.5999999046325701</v>
      </c>
      <c r="BE11">
        <v>26.299999237060501</v>
      </c>
      <c r="BG11">
        <v>1</v>
      </c>
      <c r="BH11">
        <v>30</v>
      </c>
      <c r="BI11">
        <v>21</v>
      </c>
      <c r="BJ11">
        <v>115</v>
      </c>
      <c r="BK11">
        <v>31.5</v>
      </c>
      <c r="BL11">
        <v>25.799999237060501</v>
      </c>
    </row>
    <row r="12" spans="1:64" x14ac:dyDescent="0.25">
      <c r="A12" s="6" t="s">
        <v>32</v>
      </c>
      <c r="B12" s="5">
        <v>90</v>
      </c>
      <c r="C12" s="5">
        <v>36</v>
      </c>
      <c r="D12" s="5">
        <v>41</v>
      </c>
      <c r="E12" s="22">
        <f>AVERAGE(27.6,36,41,84,68,40)</f>
        <v>49.433333333333337</v>
      </c>
      <c r="F12" s="7">
        <v>8.5</v>
      </c>
      <c r="G12" s="7">
        <v>13.5</v>
      </c>
      <c r="H12" s="15">
        <f>AVERAGE(13,13,8,8.5,10.5,13.5,14.5,13,13,13,13.5,13.5,9.5,13.5,8.5,10.5,12,12,13,13,11,8.5,9,10.5,9.5,13,13)</f>
        <v>11.611111111111111</v>
      </c>
      <c r="I12" s="23">
        <f>AVERAGE(263.25)</f>
        <v>263.25</v>
      </c>
      <c r="J12" s="19">
        <f>AVERAGE(457.25,383.5,383.5,727.5,699.5)</f>
        <v>530.25</v>
      </c>
      <c r="K12" s="19">
        <f>AVERAGE(167,217,184.5,219,278,330,269,166,309.7,525,210.7,206.2,156.7,123.6,144.9,128.8,167.4,119,86.52,130.1,120.7,137.9,119.9,133,437,133.7,156.8,236.5,139.3,172.5,264.7,144.8,140.5,130.9,153.3,99.12,136.1,199,240,245.9,211.5,154.2,167.5,177.9,177.9,180.5,206.5,331,238.1,249.7)</f>
        <v>195.51079999999999</v>
      </c>
      <c r="L12" s="19">
        <f>AVERAGE(617,617,453)</f>
        <v>562.33333333333337</v>
      </c>
      <c r="M12" s="6">
        <f>AVERAGE(330,229,249)</f>
        <v>269.33333333333331</v>
      </c>
      <c r="N12" s="101">
        <f t="shared" si="4"/>
        <v>263.25</v>
      </c>
      <c r="O12" s="101">
        <f t="shared" si="5"/>
        <v>530.25</v>
      </c>
      <c r="P12" s="101">
        <f t="shared" si="6"/>
        <v>195.51079999999999</v>
      </c>
      <c r="Q12" s="101">
        <f t="shared" si="7"/>
        <v>562.33333333333337</v>
      </c>
      <c r="R12" s="101">
        <v>175.06666666666666</v>
      </c>
      <c r="S12" s="42">
        <f t="shared" si="8"/>
        <v>387.26666666666671</v>
      </c>
      <c r="T12">
        <f t="shared" si="9"/>
        <v>0.23488424365025845</v>
      </c>
      <c r="AR12" s="20">
        <f t="shared" si="0"/>
        <v>293.00000000000006</v>
      </c>
      <c r="AT12">
        <f t="shared" si="1"/>
        <v>4.2574162679425838</v>
      </c>
      <c r="AU12">
        <f t="shared" si="2"/>
        <v>1.3464729314186226</v>
      </c>
      <c r="AV12">
        <f t="shared" si="3"/>
        <v>2.8762264454614956</v>
      </c>
      <c r="AZ12">
        <v>1</v>
      </c>
      <c r="BA12">
        <v>5</v>
      </c>
      <c r="BB12">
        <v>175</v>
      </c>
      <c r="BC12">
        <v>5.3000001907348597</v>
      </c>
      <c r="BD12">
        <v>4.5999999046325701</v>
      </c>
      <c r="BE12">
        <v>37.099998474121101</v>
      </c>
      <c r="BG12">
        <v>1</v>
      </c>
      <c r="BH12">
        <v>40</v>
      </c>
      <c r="BI12">
        <v>21</v>
      </c>
      <c r="BJ12">
        <v>115</v>
      </c>
      <c r="BK12">
        <v>42</v>
      </c>
      <c r="BL12">
        <v>34.700000762939503</v>
      </c>
    </row>
    <row r="13" spans="1:64" x14ac:dyDescent="0.25">
      <c r="A13" s="6" t="s">
        <v>33</v>
      </c>
      <c r="B13" s="5">
        <v>90</v>
      </c>
      <c r="C13" s="5">
        <f>AVERAGE(6,6,9,9.8,10,10.75,15.3,17.5,19.25)*4</f>
        <v>46.044444444444444</v>
      </c>
      <c r="D13" s="5">
        <f>AVERAGE(6,6,9,9.8,10,10.75,15.3,17.5,19.25)*4</f>
        <v>46.044444444444444</v>
      </c>
      <c r="E13" s="22">
        <f>AVERAGE(25,39,61,97,69,24)</f>
        <v>52.5</v>
      </c>
      <c r="F13" s="7">
        <v>13</v>
      </c>
      <c r="G13" s="7">
        <v>15</v>
      </c>
      <c r="H13" s="15">
        <f>AVERAGE(15,13,15,15,15,15,15,15,15,15,15,15,15,15,13,15,13,15,15,15,15,15,15)</f>
        <v>14.739130434782609</v>
      </c>
      <c r="I13" s="23">
        <f>671.5</f>
        <v>671.5</v>
      </c>
      <c r="J13" s="19">
        <f>AVERAGE(582)</f>
        <v>582</v>
      </c>
      <c r="K13" s="19">
        <f>AVERAGE(227.5,119,159,367.7,292.2,367.7,137.5,207.2,200,167.3,162.7,223.6,182.9,156.7,236.5,152.1,140.5,574,219,229,205.9)</f>
        <v>225.14285714285714</v>
      </c>
      <c r="L13" s="203">
        <v>304</v>
      </c>
      <c r="M13" s="61">
        <v>252</v>
      </c>
      <c r="N13" s="101">
        <f t="shared" si="4"/>
        <v>671.5</v>
      </c>
      <c r="O13" s="101">
        <f t="shared" si="5"/>
        <v>582</v>
      </c>
      <c r="P13" s="101">
        <f t="shared" si="6"/>
        <v>225.14285714285714</v>
      </c>
      <c r="Q13" s="101">
        <f t="shared" si="7"/>
        <v>304</v>
      </c>
      <c r="R13" s="101">
        <v>0</v>
      </c>
      <c r="S13" s="42">
        <f t="shared" si="8"/>
        <v>304</v>
      </c>
      <c r="T13">
        <f t="shared" si="9"/>
        <v>0.28074534161490683</v>
      </c>
      <c r="AR13" s="20">
        <f t="shared" si="0"/>
        <v>52</v>
      </c>
      <c r="AT13">
        <f t="shared" si="1"/>
        <v>3.5619469026548671</v>
      </c>
      <c r="AU13">
        <f t="shared" si="2"/>
        <v>2.98255076142132</v>
      </c>
      <c r="AV13">
        <f t="shared" si="3"/>
        <v>1.350253807106599</v>
      </c>
      <c r="AZ13">
        <v>1</v>
      </c>
      <c r="BA13">
        <v>5</v>
      </c>
      <c r="BB13">
        <v>175</v>
      </c>
      <c r="BC13">
        <v>5.5</v>
      </c>
      <c r="BD13">
        <v>4.8000001907348597</v>
      </c>
      <c r="BE13">
        <v>37.099998474121101</v>
      </c>
      <c r="BG13">
        <v>1</v>
      </c>
      <c r="BH13">
        <v>40</v>
      </c>
      <c r="BI13">
        <v>21</v>
      </c>
      <c r="BJ13">
        <v>115</v>
      </c>
      <c r="BK13">
        <v>44</v>
      </c>
      <c r="BL13">
        <v>36.400001525878899</v>
      </c>
    </row>
    <row r="14" spans="1:64" x14ac:dyDescent="0.25">
      <c r="A14" s="6" t="s">
        <v>82</v>
      </c>
      <c r="B14" s="5">
        <v>90</v>
      </c>
      <c r="C14" s="5">
        <v>8.6999999999999993</v>
      </c>
      <c r="D14" s="5">
        <v>44</v>
      </c>
      <c r="E14" s="22">
        <f>AVERAGE(26,16,16,16,16,28,24,8.6,24,24,8.7,21.2,25,40,21.2,18,28,36,19,11,23.3,28,21,23.3,12,11,19,20,32,25,36,13,30,19,30,25,36.8,55,25,33,23,38,39,24,33,23,24,31,34,36,44,20,23,20,23,23,23)</f>
        <v>25.001754385964912</v>
      </c>
      <c r="F14" s="7">
        <v>3.5</v>
      </c>
      <c r="G14" s="7">
        <v>11</v>
      </c>
      <c r="H14" s="15">
        <f>AVERAGE(6.4,3.5,3.5,4.2,4.2,6.4,4.5,4.5,5,6.4,6.6,11,8.5)</f>
        <v>5.7461538461538462</v>
      </c>
      <c r="I14" s="19">
        <f>AVERAGE(173,102,269,109,100,103,135,89)</f>
        <v>135</v>
      </c>
      <c r="J14" s="19">
        <f>AVERAGE(482,678,495,194,355,495,121,85,430,496,430,496,430,496,816,429,496,282,284,278,541,621,791,546,553,564,414,435,480,507,855,736,502,531,384,458)</f>
        <v>477.38888888888891</v>
      </c>
      <c r="K14" s="19">
        <f>AVERAGE(130,240,347,259,104,199,323,427,490,149,339,201,223,427,246,539,460,438,505,427,404,378,532)</f>
        <v>338.56521739130437</v>
      </c>
      <c r="L14" s="19">
        <f>AVERAGE(293,419,449,534)</f>
        <v>423.75</v>
      </c>
      <c r="M14" s="6">
        <f>AVERAGE(234,280,219,229,209)</f>
        <v>234.2</v>
      </c>
      <c r="N14" s="101">
        <f t="shared" si="4"/>
        <v>135</v>
      </c>
      <c r="O14" s="101">
        <f t="shared" si="5"/>
        <v>477.38888888888891</v>
      </c>
      <c r="P14" s="101">
        <f t="shared" si="6"/>
        <v>338.56521739130437</v>
      </c>
      <c r="Q14" s="101">
        <f t="shared" si="7"/>
        <v>423.75</v>
      </c>
      <c r="R14" s="101">
        <v>152.22999999999999</v>
      </c>
      <c r="S14" s="42">
        <f t="shared" si="8"/>
        <v>271.52</v>
      </c>
      <c r="T14">
        <f t="shared" si="9"/>
        <v>0.22983002542331712</v>
      </c>
      <c r="AR14" s="20">
        <f t="shared" si="0"/>
        <v>189.55</v>
      </c>
      <c r="AT14">
        <f t="shared" si="1"/>
        <v>4.3510415932736795</v>
      </c>
      <c r="AU14" t="e">
        <f>J14/#REF!</f>
        <v>#REF!</v>
      </c>
      <c r="AV14" t="e">
        <f>L14/#REF!</f>
        <v>#REF!</v>
      </c>
      <c r="AX14" t="s">
        <v>108</v>
      </c>
      <c r="AZ14">
        <v>1</v>
      </c>
      <c r="BA14">
        <v>5</v>
      </c>
      <c r="BB14">
        <v>175</v>
      </c>
      <c r="BC14">
        <v>5.5</v>
      </c>
      <c r="BD14">
        <v>4.8000001907348597</v>
      </c>
      <c r="BE14">
        <v>37.099998474121101</v>
      </c>
      <c r="BG14">
        <v>1</v>
      </c>
      <c r="BH14">
        <v>40</v>
      </c>
      <c r="BI14">
        <v>21</v>
      </c>
      <c r="BJ14">
        <v>115</v>
      </c>
      <c r="BK14">
        <v>44</v>
      </c>
      <c r="BL14">
        <v>36.400001525878899</v>
      </c>
    </row>
    <row r="15" spans="1:64" x14ac:dyDescent="0.25">
      <c r="A15" s="6" t="s">
        <v>302</v>
      </c>
      <c r="B15" s="5">
        <v>90</v>
      </c>
      <c r="C15" s="5">
        <v>14</v>
      </c>
      <c r="D15" s="5">
        <v>18.5</v>
      </c>
      <c r="E15" s="5">
        <f>AVERAGE(15.8,15.8,16,14,14,14,16,18,18,18.5,15.8,14,18,15.5,16,18.5)</f>
        <v>16.118749999999999</v>
      </c>
      <c r="F15" s="7">
        <v>1.9</v>
      </c>
      <c r="G15" s="7">
        <v>6</v>
      </c>
      <c r="H15" s="15">
        <f>AVERAGE(1.9,3,3,3,3,3,4.2,4.5,6)</f>
        <v>3.5111111111111111</v>
      </c>
      <c r="I15" s="19">
        <f>AVERAGE(279,288,288,278,286,306,347,300,313,316,317,417,291,314,454,416,406,244,255,269,301,261,278,288,296,278,296,284,301,284,565,344,284,536)</f>
        <v>322.94117647058823</v>
      </c>
      <c r="J15" s="203">
        <f>I15</f>
        <v>322.94117647058823</v>
      </c>
      <c r="K15" s="23">
        <f>AVERAGE(76,76.5)</f>
        <v>76.25</v>
      </c>
      <c r="L15" s="23">
        <f>AVERAGE(390)</f>
        <v>390</v>
      </c>
      <c r="M15" s="46">
        <f>AVERAGE(153)</f>
        <v>153</v>
      </c>
      <c r="N15" s="101">
        <f t="shared" si="4"/>
        <v>322.94117647058823</v>
      </c>
      <c r="O15" s="101">
        <f t="shared" si="5"/>
        <v>322.94117647058823</v>
      </c>
      <c r="P15" s="101">
        <f t="shared" si="6"/>
        <v>76.25</v>
      </c>
      <c r="Q15" s="101">
        <f t="shared" si="7"/>
        <v>390</v>
      </c>
      <c r="R15" s="101">
        <v>99.45</v>
      </c>
      <c r="S15" s="42">
        <f t="shared" si="8"/>
        <v>290.55</v>
      </c>
      <c r="T15">
        <f t="shared" si="9"/>
        <v>0.21782775408211624</v>
      </c>
      <c r="AR15" s="20">
        <f t="shared" si="0"/>
        <v>237</v>
      </c>
      <c r="AT15">
        <f t="shared" si="1"/>
        <v>4.5907832278481013</v>
      </c>
      <c r="AU15">
        <f>I15/K15</f>
        <v>4.2352941176470589</v>
      </c>
      <c r="AV15">
        <f>L15/K15</f>
        <v>5.1147540983606561</v>
      </c>
      <c r="AX15" t="s">
        <v>116</v>
      </c>
      <c r="AZ15">
        <v>1</v>
      </c>
      <c r="BA15">
        <v>5</v>
      </c>
      <c r="BB15">
        <v>175</v>
      </c>
      <c r="BC15">
        <v>5.3000001907348597</v>
      </c>
      <c r="BD15">
        <v>4.5999999046325701</v>
      </c>
      <c r="BE15">
        <v>37.099998474121101</v>
      </c>
      <c r="BG15">
        <v>1</v>
      </c>
      <c r="BH15">
        <v>40</v>
      </c>
      <c r="BI15">
        <v>21</v>
      </c>
      <c r="BJ15">
        <v>115</v>
      </c>
      <c r="BK15">
        <v>42</v>
      </c>
      <c r="BL15">
        <v>34.700000762939503</v>
      </c>
    </row>
    <row r="16" spans="1:64" x14ac:dyDescent="0.25">
      <c r="A16" s="6" t="s">
        <v>34</v>
      </c>
      <c r="B16" s="7">
        <v>90</v>
      </c>
      <c r="C16" s="7">
        <v>46</v>
      </c>
      <c r="D16" s="7">
        <v>51</v>
      </c>
      <c r="E16" s="7">
        <f>AVERAGE(46,51)</f>
        <v>48.5</v>
      </c>
      <c r="F16" s="7">
        <v>8.5</v>
      </c>
      <c r="G16" s="7">
        <v>15</v>
      </c>
      <c r="H16" s="15">
        <f>AVERAGE(12,12,13,13,13,15,11,13,8.5,14,12,12,15)</f>
        <v>12.576923076923077</v>
      </c>
      <c r="I16" s="203">
        <v>1225</v>
      </c>
      <c r="J16" s="19">
        <v>1225</v>
      </c>
      <c r="K16" s="19">
        <v>140</v>
      </c>
      <c r="L16" s="19">
        <f>AVERAGE(390,568,379,634,462)</f>
        <v>486.6</v>
      </c>
      <c r="M16" s="6">
        <f>AVERAGE(165,160,167,156,258,155,234,163,198,179,297,220,262)</f>
        <v>201.07692307692307</v>
      </c>
      <c r="N16" s="101">
        <f t="shared" si="4"/>
        <v>1225</v>
      </c>
      <c r="O16" s="101">
        <f t="shared" si="5"/>
        <v>1225</v>
      </c>
      <c r="P16" s="101">
        <f t="shared" si="6"/>
        <v>140</v>
      </c>
      <c r="Q16" s="101">
        <f t="shared" si="7"/>
        <v>486.6</v>
      </c>
      <c r="R16" s="101">
        <v>130.69999999999999</v>
      </c>
      <c r="S16" s="42">
        <f t="shared" si="8"/>
        <v>355.90000000000003</v>
      </c>
      <c r="T16">
        <f t="shared" si="9"/>
        <v>0.25931800158604279</v>
      </c>
      <c r="AR16" s="20">
        <f t="shared" si="0"/>
        <v>285.52307692307693</v>
      </c>
      <c r="AT16">
        <f t="shared" si="1"/>
        <v>3.856269113149847</v>
      </c>
      <c r="AU16">
        <f>I16/K16</f>
        <v>8.75</v>
      </c>
      <c r="AV16">
        <f>L16/K16</f>
        <v>3.475714285714286</v>
      </c>
      <c r="AX16" t="s">
        <v>249</v>
      </c>
      <c r="AZ16">
        <v>1</v>
      </c>
      <c r="BA16">
        <v>5</v>
      </c>
      <c r="BB16">
        <v>175</v>
      </c>
      <c r="BC16">
        <v>5.3000001907348597</v>
      </c>
      <c r="BD16">
        <v>4.5999999046325701</v>
      </c>
      <c r="BE16">
        <v>37.099998474121101</v>
      </c>
      <c r="BG16">
        <v>1</v>
      </c>
      <c r="BH16">
        <v>40</v>
      </c>
      <c r="BI16">
        <v>21</v>
      </c>
      <c r="BJ16">
        <v>115</v>
      </c>
      <c r="BK16">
        <v>42</v>
      </c>
      <c r="BL16">
        <v>34.700000762939503</v>
      </c>
    </row>
    <row r="17" spans="1:64" x14ac:dyDescent="0.25">
      <c r="A17" s="6" t="s">
        <v>42</v>
      </c>
      <c r="B17" s="7">
        <v>90</v>
      </c>
      <c r="C17" s="7">
        <v>15</v>
      </c>
      <c r="D17" s="7">
        <v>16</v>
      </c>
      <c r="E17" s="15">
        <f>AVERAGE(15,16)</f>
        <v>15.5</v>
      </c>
      <c r="F17" s="7">
        <v>3</v>
      </c>
      <c r="G17" s="7">
        <v>4</v>
      </c>
      <c r="H17" s="15">
        <f>AVERAGE(4,3)</f>
        <v>3.5</v>
      </c>
      <c r="I17" s="23">
        <f>AVERAGE(138,334)</f>
        <v>236</v>
      </c>
      <c r="J17" s="203">
        <f>I17</f>
        <v>236</v>
      </c>
      <c r="K17" s="23">
        <f>AVERAGE(307,359,271)</f>
        <v>312.33333333333331</v>
      </c>
      <c r="L17" s="19">
        <f>AVERAGE(444,637,362,894)</f>
        <v>584.25</v>
      </c>
      <c r="M17" s="6">
        <f>AVERAGE(287,289,249,330,432)</f>
        <v>317.39999999999998</v>
      </c>
      <c r="N17" s="101">
        <f t="shared" si="4"/>
        <v>236</v>
      </c>
      <c r="O17" s="101">
        <f t="shared" si="5"/>
        <v>236</v>
      </c>
      <c r="P17" s="101">
        <f t="shared" si="6"/>
        <v>312.33333333333331</v>
      </c>
      <c r="Q17" s="101">
        <f t="shared" si="7"/>
        <v>584.25</v>
      </c>
      <c r="R17" s="101">
        <v>206.31</v>
      </c>
      <c r="S17" s="42">
        <f t="shared" si="8"/>
        <v>377.94</v>
      </c>
      <c r="T17">
        <f t="shared" si="9"/>
        <v>0.22580645161290322</v>
      </c>
      <c r="AR17" s="20">
        <f t="shared" si="0"/>
        <v>266.85000000000002</v>
      </c>
      <c r="AT17">
        <f t="shared" si="1"/>
        <v>4.4285714285714288</v>
      </c>
      <c r="AU17">
        <f>I17/K17</f>
        <v>0.75560298826040562</v>
      </c>
      <c r="AV17">
        <f>L17/K17</f>
        <v>1.8705976520811101</v>
      </c>
      <c r="AZ17">
        <v>1</v>
      </c>
      <c r="BA17">
        <v>7.5</v>
      </c>
      <c r="BB17">
        <v>100</v>
      </c>
      <c r="BC17">
        <v>7.9000000953674299</v>
      </c>
      <c r="BD17">
        <v>6.8000001907348597</v>
      </c>
      <c r="BE17">
        <v>25.399999618530298</v>
      </c>
      <c r="BG17">
        <v>1</v>
      </c>
      <c r="BH17">
        <v>50</v>
      </c>
      <c r="BI17">
        <v>20.799999237060501</v>
      </c>
      <c r="BJ17">
        <v>115</v>
      </c>
      <c r="BK17">
        <v>52.5</v>
      </c>
      <c r="BL17">
        <v>42.700000762939503</v>
      </c>
    </row>
    <row r="18" spans="1:64" x14ac:dyDescent="0.25">
      <c r="A18" s="6" t="s">
        <v>305</v>
      </c>
      <c r="B18" s="7">
        <v>90</v>
      </c>
      <c r="C18" s="7">
        <v>2.8</v>
      </c>
      <c r="D18" s="7">
        <v>2.8</v>
      </c>
      <c r="E18" s="7">
        <v>2.8</v>
      </c>
      <c r="F18" s="7">
        <v>1</v>
      </c>
      <c r="G18" s="7">
        <v>1</v>
      </c>
      <c r="H18" s="15">
        <v>1</v>
      </c>
      <c r="I18" s="19">
        <f>AVERAGE(456,342,489,490,547,331,498,287,294,288,248,128,401,444,726,625,460,549,280,313,178,164,410,450,431,415,460,274,285,252,282,234,251,366)</f>
        <v>372</v>
      </c>
      <c r="J18" s="203">
        <f>I18</f>
        <v>372</v>
      </c>
      <c r="K18" s="203">
        <v>64</v>
      </c>
      <c r="L18" s="19">
        <f>AVERAGE(422,704,569,744,1029,680,697,697,726)</f>
        <v>696.44444444444446</v>
      </c>
      <c r="M18" s="6">
        <f>AVERAGE(355,807,397,483,152,207,614,278)</f>
        <v>411.625</v>
      </c>
      <c r="N18" s="101">
        <f t="shared" si="4"/>
        <v>372</v>
      </c>
      <c r="O18" s="101">
        <f t="shared" si="5"/>
        <v>372</v>
      </c>
      <c r="P18" s="101">
        <f t="shared" si="6"/>
        <v>64</v>
      </c>
      <c r="Q18" s="101">
        <f t="shared" si="7"/>
        <v>696.44444444444446</v>
      </c>
      <c r="R18" s="101">
        <v>267.55625000000003</v>
      </c>
      <c r="S18" s="42">
        <f t="shared" si="8"/>
        <v>428.88819444444442</v>
      </c>
      <c r="T18">
        <f t="shared" si="9"/>
        <v>0.35714285714285715</v>
      </c>
      <c r="AR18" s="20">
        <f t="shared" si="0"/>
        <v>284.81944444444446</v>
      </c>
      <c r="AT18">
        <f t="shared" si="1"/>
        <v>2.8</v>
      </c>
      <c r="AZ18">
        <v>1</v>
      </c>
      <c r="BA18">
        <v>7.5</v>
      </c>
      <c r="BB18">
        <v>100</v>
      </c>
      <c r="BC18">
        <v>8.3000001907348597</v>
      </c>
      <c r="BD18">
        <v>7.0999999046325701</v>
      </c>
      <c r="BE18">
        <v>25.399999618530298</v>
      </c>
      <c r="BG18">
        <v>1</v>
      </c>
      <c r="BH18">
        <v>50</v>
      </c>
      <c r="BI18">
        <v>20.799999237060501</v>
      </c>
      <c r="BJ18">
        <v>115</v>
      </c>
      <c r="BK18">
        <v>55</v>
      </c>
      <c r="BL18">
        <v>44.700000762939503</v>
      </c>
    </row>
    <row r="19" spans="1:64" x14ac:dyDescent="0.25">
      <c r="A19" s="6" t="s">
        <v>132</v>
      </c>
      <c r="B19" s="7">
        <v>90</v>
      </c>
      <c r="C19" s="7">
        <v>10</v>
      </c>
      <c r="D19" s="7">
        <v>32</v>
      </c>
      <c r="E19" s="7">
        <f>AVERAGE(10,10,10,11,11,13,13,16,16,17,17,17,17,19,19,20,21,22,22,25,25,25,27,29,29,29,31,32)</f>
        <v>19.75</v>
      </c>
      <c r="F19" s="7">
        <v>6</v>
      </c>
      <c r="G19" s="7">
        <v>6.5</v>
      </c>
      <c r="H19" s="15">
        <f>AVERAGE(6,6,6.2,6.3,6.5,6.5,6.5,6.5,6.5,6.5,6.5,6.5)</f>
        <v>6.375</v>
      </c>
      <c r="I19" s="19">
        <f>AVERAGE(140,284,181,295,384,347)</f>
        <v>271.83333333333331</v>
      </c>
      <c r="J19" s="203">
        <f>I19</f>
        <v>271.83333333333331</v>
      </c>
      <c r="K19" s="19">
        <f>AVERAGE(270,211,145,150,125,137,149,132,260,305,200,158,148,257,183,233,432,161,169,169,219,202,160,159,238,214,236,312,379)</f>
        <v>210.79310344827587</v>
      </c>
      <c r="L19" s="19">
        <f>AVERAGE(227,153,289,291,174,374,376,259,333,185,365,387,455,626,720,279,755)</f>
        <v>367.52941176470586</v>
      </c>
      <c r="M19" s="6">
        <f>AVERAGE(124,100,106,174,113,149,119,199,114,311,233,207,308,120,298)</f>
        <v>178.33333333333334</v>
      </c>
      <c r="N19" s="101">
        <f t="shared" si="4"/>
        <v>271.83333333333331</v>
      </c>
      <c r="O19" s="101">
        <f t="shared" si="5"/>
        <v>271.83333333333331</v>
      </c>
      <c r="P19" s="101">
        <f t="shared" si="6"/>
        <v>210.79310344827587</v>
      </c>
      <c r="Q19" s="101">
        <f t="shared" si="7"/>
        <v>367.52941176470586</v>
      </c>
      <c r="R19" s="101">
        <v>115.91666666666667</v>
      </c>
      <c r="S19" s="42">
        <f t="shared" si="8"/>
        <v>251.61274509803917</v>
      </c>
      <c r="T19">
        <f t="shared" si="9"/>
        <v>0.32278481012658228</v>
      </c>
      <c r="AR19" s="20">
        <f t="shared" si="0"/>
        <v>189.19607843137251</v>
      </c>
      <c r="AT19">
        <f t="shared" si="1"/>
        <v>3.0980392156862746</v>
      </c>
      <c r="AZ19">
        <v>1</v>
      </c>
      <c r="BA19">
        <v>7.5</v>
      </c>
      <c r="BB19">
        <v>100</v>
      </c>
      <c r="BC19">
        <v>8.3000001907348597</v>
      </c>
      <c r="BD19">
        <v>7.0999999046325701</v>
      </c>
      <c r="BE19">
        <v>25.399999618530298</v>
      </c>
    </row>
    <row r="20" spans="1:64" x14ac:dyDescent="0.25">
      <c r="A20" s="6" t="s">
        <v>136</v>
      </c>
      <c r="B20" s="7">
        <v>90</v>
      </c>
      <c r="C20" s="7">
        <v>12</v>
      </c>
      <c r="D20" s="7">
        <v>16</v>
      </c>
      <c r="E20" s="7">
        <f>AVERAGE(3,3,3,3.7,4,4,4,4)*4</f>
        <v>14.35</v>
      </c>
      <c r="F20" s="7">
        <v>4</v>
      </c>
      <c r="G20" s="7">
        <v>4</v>
      </c>
      <c r="H20" s="15">
        <f>E20/AVERAGE(AT5:AT19)</f>
        <v>3.9549529462231101</v>
      </c>
      <c r="I20" s="19">
        <f>AVERAGE(219,197,250,112,131,140,180,192)</f>
        <v>177.625</v>
      </c>
      <c r="J20" s="203">
        <f>I20</f>
        <v>177.625</v>
      </c>
      <c r="K20" s="203">
        <v>160</v>
      </c>
      <c r="L20" s="19">
        <f>AVERAGE(336,370)</f>
        <v>353</v>
      </c>
      <c r="M20" s="6">
        <f>AVERAGE(140,221,258)</f>
        <v>206.33333333333334</v>
      </c>
      <c r="N20" s="101">
        <f t="shared" si="4"/>
        <v>177.625</v>
      </c>
      <c r="O20" s="101">
        <f t="shared" si="5"/>
        <v>177.625</v>
      </c>
      <c r="P20" s="101">
        <f t="shared" si="6"/>
        <v>160</v>
      </c>
      <c r="Q20" s="101">
        <f t="shared" si="7"/>
        <v>353</v>
      </c>
      <c r="R20" s="101">
        <v>134.11666666666667</v>
      </c>
      <c r="S20" s="42">
        <f t="shared" si="8"/>
        <v>218.88333333333333</v>
      </c>
      <c r="T20">
        <f t="shared" si="9"/>
        <v>0.27560647708871849</v>
      </c>
      <c r="AR20" s="20">
        <f t="shared" si="0"/>
        <v>146.66666666666666</v>
      </c>
      <c r="AT20">
        <f t="shared" si="1"/>
        <v>3.6283617517381397</v>
      </c>
      <c r="AZ20">
        <v>1</v>
      </c>
      <c r="BA20">
        <v>7.5</v>
      </c>
      <c r="BB20">
        <v>100</v>
      </c>
      <c r="BC20">
        <v>7.9000000953674299</v>
      </c>
      <c r="BD20">
        <v>6.8000001907348597</v>
      </c>
      <c r="BE20">
        <v>25.399999618530298</v>
      </c>
    </row>
    <row r="21" spans="1:64" s="147" customFormat="1" x14ac:dyDescent="0.25">
      <c r="A21" s="343" t="s">
        <v>538</v>
      </c>
      <c r="B21" s="343"/>
      <c r="C21" s="343"/>
      <c r="D21" s="343"/>
      <c r="E21" s="343"/>
      <c r="F21" s="343"/>
      <c r="G21" s="343"/>
      <c r="H21" s="343"/>
      <c r="I21" s="343"/>
      <c r="J21" s="343"/>
      <c r="K21" s="343"/>
      <c r="L21" s="343"/>
      <c r="M21" s="343"/>
      <c r="N21" s="101"/>
      <c r="O21" s="101"/>
      <c r="P21" s="101"/>
      <c r="Q21" s="101"/>
      <c r="R21" s="101"/>
      <c r="S21" s="42"/>
      <c r="AR21" s="20"/>
    </row>
    <row r="22" spans="1:64" x14ac:dyDescent="0.25">
      <c r="A22" s="4" t="s">
        <v>7</v>
      </c>
      <c r="B22" s="5">
        <v>90</v>
      </c>
      <c r="C22" s="5">
        <v>16</v>
      </c>
      <c r="D22" s="5">
        <v>41</v>
      </c>
      <c r="E22" s="5">
        <v>28.5</v>
      </c>
      <c r="F22" s="5"/>
      <c r="G22" s="5"/>
      <c r="H22" s="5"/>
      <c r="I22" s="18"/>
      <c r="J22" s="18"/>
      <c r="K22" s="18"/>
      <c r="L22" s="18"/>
      <c r="M22" s="4"/>
      <c r="S22" s="42">
        <f>AVERAGE(S14:S20,S5:S12)</f>
        <v>336.46367344441126</v>
      </c>
      <c r="T22">
        <f>AVERAGE(T5:T20)</f>
        <v>0.28851595300899641</v>
      </c>
      <c r="AR22" s="85">
        <f>AVERAGE(AR5:AR12,AR14:AR20)</f>
        <v>252.82382857261641</v>
      </c>
      <c r="AZ22">
        <v>1</v>
      </c>
      <c r="BA22">
        <v>7.5</v>
      </c>
      <c r="BB22">
        <v>100</v>
      </c>
      <c r="BC22">
        <v>7.9000000953674299</v>
      </c>
      <c r="BD22">
        <v>6.8000001907348597</v>
      </c>
      <c r="BE22">
        <v>25.399999618530298</v>
      </c>
      <c r="BG22">
        <v>1</v>
      </c>
      <c r="BH22">
        <v>50</v>
      </c>
      <c r="BI22">
        <v>20.799999237060501</v>
      </c>
      <c r="BJ22">
        <v>115</v>
      </c>
      <c r="BK22">
        <v>55</v>
      </c>
      <c r="BL22">
        <v>44.700000762939503</v>
      </c>
    </row>
    <row r="23" spans="1:64" x14ac:dyDescent="0.25">
      <c r="A23" s="4" t="s">
        <v>8</v>
      </c>
      <c r="B23" s="5">
        <v>90</v>
      </c>
      <c r="C23" s="5">
        <v>16</v>
      </c>
      <c r="D23" s="5">
        <v>31</v>
      </c>
      <c r="E23" s="15">
        <f>AVERAGE(16,31,27)</f>
        <v>24.666666666666668</v>
      </c>
      <c r="F23" s="5"/>
      <c r="G23" s="5"/>
      <c r="H23" s="5"/>
      <c r="I23" s="18"/>
      <c r="J23" s="18"/>
      <c r="K23" s="18"/>
      <c r="L23" s="18"/>
      <c r="M23" s="4"/>
      <c r="AZ23">
        <v>1</v>
      </c>
      <c r="BA23">
        <v>7.5</v>
      </c>
      <c r="BB23">
        <v>125</v>
      </c>
      <c r="BC23">
        <v>7.9000000953674299</v>
      </c>
      <c r="BD23">
        <v>6.8000001907348597</v>
      </c>
      <c r="BE23">
        <v>27.700000762939499</v>
      </c>
      <c r="BG23">
        <v>1</v>
      </c>
      <c r="BH23">
        <v>50</v>
      </c>
      <c r="BI23">
        <v>20.799999237060501</v>
      </c>
      <c r="BJ23">
        <v>115</v>
      </c>
      <c r="BK23">
        <v>52.5</v>
      </c>
      <c r="BL23">
        <v>42.700000762939503</v>
      </c>
    </row>
    <row r="24" spans="1:64" x14ac:dyDescent="0.25">
      <c r="A24" s="4" t="s">
        <v>44</v>
      </c>
      <c r="B24" s="5">
        <v>90</v>
      </c>
      <c r="C24" s="5">
        <v>8.5</v>
      </c>
      <c r="D24" s="5">
        <v>31</v>
      </c>
      <c r="E24" s="15">
        <f>AVERAGE(16,16,13,13,13,6.5,13,16,16,12,27,13,17,17,27,10,10,29,29,10,17,20,17,13,13,8.5,31,21)</f>
        <v>16.571428571428573</v>
      </c>
      <c r="F24" s="5"/>
      <c r="G24" s="5"/>
      <c r="H24" s="5"/>
      <c r="I24" s="18"/>
      <c r="J24" s="18"/>
      <c r="K24" s="18"/>
      <c r="L24" s="18"/>
      <c r="M24" s="4"/>
      <c r="Q24" s="42">
        <v>0.65</v>
      </c>
      <c r="R24" t="s">
        <v>257</v>
      </c>
      <c r="AZ24">
        <v>1</v>
      </c>
      <c r="BA24">
        <v>7.5</v>
      </c>
      <c r="BB24">
        <v>125</v>
      </c>
      <c r="BC24">
        <v>8.3000001907348597</v>
      </c>
      <c r="BD24">
        <v>7.0999999046325701</v>
      </c>
      <c r="BE24">
        <v>27.700000762939499</v>
      </c>
      <c r="BG24">
        <v>1</v>
      </c>
      <c r="BH24">
        <v>50</v>
      </c>
      <c r="BI24">
        <v>20.799999237060501</v>
      </c>
      <c r="BJ24">
        <v>115</v>
      </c>
      <c r="BK24">
        <v>52.5</v>
      </c>
      <c r="BL24">
        <v>42.700000762939503</v>
      </c>
    </row>
    <row r="25" spans="1:64" x14ac:dyDescent="0.25">
      <c r="A25" s="8" t="s">
        <v>10</v>
      </c>
      <c r="B25" s="5">
        <v>90</v>
      </c>
      <c r="C25" s="5"/>
      <c r="D25" s="5"/>
      <c r="E25" s="5">
        <v>20</v>
      </c>
      <c r="F25" s="5"/>
      <c r="G25" s="5"/>
      <c r="H25" s="5"/>
      <c r="I25" s="18"/>
      <c r="J25" s="18"/>
      <c r="K25" s="18"/>
      <c r="L25" s="18"/>
      <c r="M25" s="8"/>
      <c r="AZ25">
        <v>1</v>
      </c>
      <c r="BA25">
        <v>7.5</v>
      </c>
      <c r="BB25">
        <v>125</v>
      </c>
      <c r="BC25">
        <v>8.3000001907348597</v>
      </c>
      <c r="BD25">
        <v>7.0999999046325701</v>
      </c>
      <c r="BE25">
        <v>27.700000762939499</v>
      </c>
      <c r="BG25">
        <v>1</v>
      </c>
      <c r="BH25">
        <v>60</v>
      </c>
      <c r="BI25">
        <v>19.399999618530298</v>
      </c>
      <c r="BJ25">
        <v>115</v>
      </c>
      <c r="BK25">
        <v>63</v>
      </c>
      <c r="BL25">
        <v>51.299999237060497</v>
      </c>
    </row>
    <row r="26" spans="1:64" x14ac:dyDescent="0.25">
      <c r="A26" s="9" t="s">
        <v>11</v>
      </c>
      <c r="B26" s="7"/>
      <c r="C26" s="7"/>
      <c r="D26" s="7"/>
      <c r="E26" s="7"/>
      <c r="F26" s="7">
        <v>12.5</v>
      </c>
      <c r="G26" s="7">
        <v>12.5</v>
      </c>
      <c r="H26" s="7">
        <v>12.5</v>
      </c>
      <c r="I26" s="19"/>
      <c r="J26" s="19"/>
      <c r="K26" s="19"/>
      <c r="L26" s="19"/>
      <c r="M26" s="9"/>
      <c r="O26" t="s">
        <v>250</v>
      </c>
      <c r="AH26" t="s">
        <v>253</v>
      </c>
      <c r="AZ26">
        <v>1</v>
      </c>
      <c r="BA26">
        <v>7.5</v>
      </c>
      <c r="BB26">
        <v>125</v>
      </c>
      <c r="BC26">
        <v>7.9000000953674299</v>
      </c>
      <c r="BD26">
        <v>6.8000001907348597</v>
      </c>
      <c r="BE26">
        <v>27.700000762939499</v>
      </c>
      <c r="BG26">
        <v>1</v>
      </c>
      <c r="BH26">
        <v>60</v>
      </c>
      <c r="BI26">
        <v>19.399999618530298</v>
      </c>
      <c r="BJ26">
        <v>115</v>
      </c>
      <c r="BK26">
        <v>66</v>
      </c>
      <c r="BL26">
        <v>53.700000762939503</v>
      </c>
    </row>
    <row r="27" spans="1:64" x14ac:dyDescent="0.25">
      <c r="A27" s="8" t="s">
        <v>12</v>
      </c>
      <c r="B27" s="5">
        <v>100</v>
      </c>
      <c r="C27" s="5">
        <v>2.8</v>
      </c>
      <c r="D27" s="5">
        <v>2.8</v>
      </c>
      <c r="E27" s="5">
        <v>2.8</v>
      </c>
      <c r="F27" s="5">
        <v>0</v>
      </c>
      <c r="G27" s="5">
        <v>0</v>
      </c>
      <c r="H27" s="5">
        <v>0</v>
      </c>
      <c r="I27" s="18"/>
      <c r="J27" s="18"/>
      <c r="K27" s="18"/>
      <c r="L27" s="18"/>
      <c r="M27" s="8"/>
      <c r="O27" t="s">
        <v>77</v>
      </c>
      <c r="AH27" t="s">
        <v>362</v>
      </c>
      <c r="AZ27">
        <v>1</v>
      </c>
      <c r="BA27">
        <v>7.5</v>
      </c>
      <c r="BB27">
        <v>125</v>
      </c>
      <c r="BC27">
        <v>7.9000000953674299</v>
      </c>
      <c r="BD27">
        <v>6.8000001907348597</v>
      </c>
      <c r="BE27">
        <v>27.700000762939499</v>
      </c>
      <c r="BG27">
        <v>1</v>
      </c>
      <c r="BH27">
        <v>60</v>
      </c>
      <c r="BI27">
        <v>19.399999618530298</v>
      </c>
      <c r="BJ27">
        <v>115</v>
      </c>
      <c r="BK27">
        <v>66</v>
      </c>
      <c r="BL27">
        <v>53.700000762939503</v>
      </c>
    </row>
    <row r="28" spans="1:64" x14ac:dyDescent="0.25">
      <c r="A28" s="9" t="s">
        <v>13</v>
      </c>
      <c r="B28" s="7"/>
      <c r="C28" s="7"/>
      <c r="D28" s="7"/>
      <c r="E28" s="7"/>
      <c r="F28" s="7">
        <v>1</v>
      </c>
      <c r="G28" s="7">
        <v>1</v>
      </c>
      <c r="H28" s="7">
        <v>1</v>
      </c>
      <c r="I28" s="19"/>
      <c r="J28" s="19"/>
      <c r="K28" s="19"/>
      <c r="L28" s="19"/>
      <c r="M28" s="9"/>
      <c r="AH28" t="s">
        <v>360</v>
      </c>
      <c r="AZ28">
        <v>1</v>
      </c>
      <c r="BA28">
        <v>7.5</v>
      </c>
      <c r="BB28">
        <v>175</v>
      </c>
      <c r="BC28">
        <v>7.9000000953674299</v>
      </c>
      <c r="BD28">
        <v>6.8000001907348597</v>
      </c>
      <c r="BE28">
        <v>34.799999237060497</v>
      </c>
      <c r="BG28">
        <v>1</v>
      </c>
      <c r="BH28">
        <v>60</v>
      </c>
      <c r="BI28">
        <v>19.399999618530298</v>
      </c>
      <c r="BJ28">
        <v>115</v>
      </c>
      <c r="BK28">
        <v>63</v>
      </c>
      <c r="BL28">
        <v>51.299999237060497</v>
      </c>
    </row>
    <row r="29" spans="1:64" x14ac:dyDescent="0.25">
      <c r="A29" s="9" t="s">
        <v>14</v>
      </c>
      <c r="B29" s="7"/>
      <c r="C29" s="7"/>
      <c r="D29" s="7"/>
      <c r="E29" s="7"/>
      <c r="F29" s="7">
        <v>6</v>
      </c>
      <c r="G29" s="7">
        <v>6.5</v>
      </c>
      <c r="H29" s="15">
        <f>AVERAGE(6.3,6.5,6,6.5,6.5,6.5,6.5,6.5,6.5,6)</f>
        <v>6.38</v>
      </c>
      <c r="I29" s="19"/>
      <c r="J29" s="19"/>
      <c r="K29" s="19"/>
      <c r="L29" s="19"/>
      <c r="M29" s="9"/>
      <c r="AH29" t="s">
        <v>363</v>
      </c>
      <c r="AZ29">
        <v>1</v>
      </c>
      <c r="BA29">
        <v>7.5</v>
      </c>
      <c r="BB29">
        <v>175</v>
      </c>
      <c r="BC29">
        <v>8.3000001907348597</v>
      </c>
      <c r="BD29">
        <v>7.0999999046325701</v>
      </c>
      <c r="BE29">
        <v>34.799999237060497</v>
      </c>
      <c r="BG29">
        <v>1</v>
      </c>
      <c r="BH29">
        <v>60</v>
      </c>
      <c r="BI29">
        <v>19.399999618530298</v>
      </c>
      <c r="BJ29">
        <v>115</v>
      </c>
      <c r="BK29">
        <v>63</v>
      </c>
      <c r="BL29">
        <v>51.299999237060497</v>
      </c>
    </row>
    <row r="30" spans="1:64" x14ac:dyDescent="0.25">
      <c r="A30" s="8" t="s">
        <v>15</v>
      </c>
      <c r="B30" s="5">
        <v>90</v>
      </c>
      <c r="C30" s="5"/>
      <c r="D30" s="5"/>
      <c r="E30" s="5">
        <v>13.5</v>
      </c>
      <c r="F30" s="5"/>
      <c r="G30" s="5"/>
      <c r="H30" s="5"/>
      <c r="I30" s="18"/>
      <c r="J30" s="18"/>
      <c r="K30" s="18"/>
      <c r="L30" s="18"/>
      <c r="M30" s="8"/>
      <c r="AH30" t="s">
        <v>361</v>
      </c>
      <c r="AT30" t="s">
        <v>123</v>
      </c>
      <c r="AU30" t="s">
        <v>124</v>
      </c>
      <c r="AZ30">
        <v>1</v>
      </c>
      <c r="BA30">
        <v>7.5</v>
      </c>
      <c r="BB30">
        <v>175</v>
      </c>
      <c r="BC30">
        <v>8.3000001907348597</v>
      </c>
      <c r="BD30">
        <v>7.0999999046325701</v>
      </c>
      <c r="BE30">
        <v>34.799999237060497</v>
      </c>
      <c r="BG30">
        <v>1</v>
      </c>
      <c r="BH30">
        <v>75</v>
      </c>
      <c r="BI30">
        <v>19.399999618530298</v>
      </c>
      <c r="BJ30">
        <v>115</v>
      </c>
      <c r="BK30">
        <v>78.800003051757798</v>
      </c>
      <c r="BL30">
        <v>64.099998474121094</v>
      </c>
    </row>
    <row r="31" spans="1:64" x14ac:dyDescent="0.25">
      <c r="A31" s="9" t="s">
        <v>16</v>
      </c>
      <c r="B31" s="7"/>
      <c r="C31" s="7"/>
      <c r="D31" s="7"/>
      <c r="E31" s="7"/>
      <c r="F31" s="7"/>
      <c r="G31" s="7"/>
      <c r="H31" s="7">
        <v>5.5</v>
      </c>
      <c r="I31" s="19"/>
      <c r="J31" s="19"/>
      <c r="K31" s="19"/>
      <c r="L31" s="19"/>
      <c r="M31" s="9"/>
      <c r="AT31">
        <v>1</v>
      </c>
      <c r="AU31" t="s">
        <v>125</v>
      </c>
      <c r="AZ31">
        <v>1</v>
      </c>
      <c r="BA31">
        <v>7.5</v>
      </c>
      <c r="BB31">
        <v>175</v>
      </c>
      <c r="BC31">
        <v>7.9000000953674299</v>
      </c>
      <c r="BD31">
        <v>6.8000001907348597</v>
      </c>
      <c r="BE31">
        <v>34.799999237060497</v>
      </c>
      <c r="BG31">
        <v>1</v>
      </c>
      <c r="BH31">
        <v>75</v>
      </c>
      <c r="BI31">
        <v>19.399999618530298</v>
      </c>
      <c r="BJ31">
        <v>115</v>
      </c>
      <c r="BK31">
        <v>82.5</v>
      </c>
      <c r="BL31">
        <v>67.099998474121094</v>
      </c>
    </row>
    <row r="32" spans="1:64" x14ac:dyDescent="0.25">
      <c r="A32" s="9" t="s">
        <v>47</v>
      </c>
      <c r="B32" s="7"/>
      <c r="C32" s="7">
        <v>8</v>
      </c>
      <c r="D32" s="7">
        <v>48</v>
      </c>
      <c r="E32" s="15">
        <f>AVERAGE(8,8,11,8,11,8,11,8,5,20,17.5,11,8,11,11,9,15,8,16,19,22,16,34,16,16,34,16,16,16,16,26,9,9,9,9,9,15,15,15,10,35,48,10,34,13,13,9,9,9,9,25,8,25,8,8,15,15,15,15,15,15,13,13,35,38,10,35,35,35,36,20,21,20,40,29,40,29,40,29,40,40,29,40,29,40,40)</f>
        <v>19.540697674418606</v>
      </c>
      <c r="F32" s="7"/>
      <c r="G32" s="7"/>
      <c r="H32" s="7"/>
      <c r="I32" s="19"/>
      <c r="J32" s="19"/>
      <c r="K32" s="19"/>
      <c r="L32" s="19"/>
      <c r="M32" s="9"/>
      <c r="AT32">
        <v>2</v>
      </c>
      <c r="AU32" t="s">
        <v>126</v>
      </c>
      <c r="AZ32">
        <v>1</v>
      </c>
      <c r="BA32">
        <v>7.5</v>
      </c>
      <c r="BB32">
        <v>175</v>
      </c>
      <c r="BC32">
        <v>7.9000000953674299</v>
      </c>
      <c r="BD32">
        <v>6.8000001907348597</v>
      </c>
      <c r="BE32">
        <v>34.799999237060497</v>
      </c>
      <c r="BG32">
        <v>1</v>
      </c>
      <c r="BH32">
        <v>75</v>
      </c>
      <c r="BI32">
        <v>19.399999618530298</v>
      </c>
      <c r="BJ32">
        <v>115</v>
      </c>
      <c r="BK32">
        <v>82.5</v>
      </c>
      <c r="BL32">
        <v>67.099998474121094</v>
      </c>
    </row>
    <row r="33" spans="1:64" x14ac:dyDescent="0.25">
      <c r="A33" s="9" t="s">
        <v>17</v>
      </c>
      <c r="B33" s="7"/>
      <c r="C33" s="7"/>
      <c r="D33" s="7"/>
      <c r="E33" s="7"/>
      <c r="F33" s="7"/>
      <c r="G33" s="7"/>
      <c r="H33" s="7">
        <v>0.625</v>
      </c>
      <c r="I33" s="19"/>
      <c r="J33" s="19"/>
      <c r="K33" s="19"/>
      <c r="L33" s="19"/>
      <c r="M33" s="9"/>
      <c r="AT33">
        <v>3</v>
      </c>
      <c r="AU33" t="s">
        <v>127</v>
      </c>
      <c r="AZ33">
        <v>1</v>
      </c>
      <c r="BA33">
        <v>10</v>
      </c>
      <c r="BB33">
        <v>100</v>
      </c>
      <c r="BC33">
        <v>10.5</v>
      </c>
      <c r="BD33">
        <v>9</v>
      </c>
      <c r="BE33">
        <v>22.899999618530298</v>
      </c>
      <c r="BG33">
        <v>1</v>
      </c>
      <c r="BH33">
        <v>75</v>
      </c>
      <c r="BI33">
        <v>19.399999618530298</v>
      </c>
      <c r="BJ33">
        <v>115</v>
      </c>
      <c r="BK33">
        <v>78.800003051757798</v>
      </c>
      <c r="BL33">
        <v>64.099998474121094</v>
      </c>
    </row>
    <row r="34" spans="1:64" x14ac:dyDescent="0.25">
      <c r="A34" s="6" t="s">
        <v>41</v>
      </c>
      <c r="B34" s="7">
        <v>90</v>
      </c>
      <c r="C34" s="7">
        <v>16</v>
      </c>
      <c r="D34" s="7">
        <v>17</v>
      </c>
      <c r="E34" s="15">
        <f>AVERAGE(16,17)</f>
        <v>16.5</v>
      </c>
      <c r="F34" s="7">
        <v>3</v>
      </c>
      <c r="G34" s="7">
        <v>6.5</v>
      </c>
      <c r="H34" s="15">
        <f>AVERAGE(4,3,6.5,5)</f>
        <v>4.625</v>
      </c>
      <c r="I34" s="23"/>
      <c r="J34" s="19"/>
      <c r="K34" s="19"/>
      <c r="L34" s="19"/>
      <c r="M34" s="6"/>
      <c r="AR34">
        <f>E34/H34</f>
        <v>3.5675675675675675</v>
      </c>
      <c r="AS34" t="e">
        <f>I34/K34</f>
        <v>#DIV/0!</v>
      </c>
      <c r="AT34">
        <v>4</v>
      </c>
      <c r="AU34" t="s">
        <v>128</v>
      </c>
      <c r="AZ34">
        <v>1</v>
      </c>
      <c r="BA34">
        <v>10</v>
      </c>
      <c r="BB34">
        <v>100</v>
      </c>
      <c r="BC34">
        <v>11</v>
      </c>
      <c r="BD34">
        <v>9.3999996185302699</v>
      </c>
      <c r="BE34">
        <v>22.899999618530298</v>
      </c>
      <c r="BG34">
        <v>1</v>
      </c>
      <c r="BH34">
        <v>75</v>
      </c>
      <c r="BI34">
        <v>19.399999618530298</v>
      </c>
      <c r="BJ34">
        <v>115</v>
      </c>
      <c r="BK34">
        <v>78.800003051757798</v>
      </c>
      <c r="BL34">
        <v>64.099998474121094</v>
      </c>
    </row>
    <row r="35" spans="1:64" x14ac:dyDescent="0.25">
      <c r="A35" s="6" t="s">
        <v>40</v>
      </c>
      <c r="B35" s="7"/>
      <c r="C35" s="7"/>
      <c r="D35" s="7"/>
      <c r="E35" s="7"/>
      <c r="F35" s="7">
        <v>5</v>
      </c>
      <c r="G35" s="7">
        <v>15</v>
      </c>
      <c r="H35" s="15">
        <f>AVERAGE(5,11,12,13,15)</f>
        <v>11.2</v>
      </c>
      <c r="I35" s="23"/>
      <c r="J35" s="19"/>
      <c r="K35" s="19"/>
      <c r="L35" s="19"/>
      <c r="M35" s="6"/>
      <c r="AR35">
        <f>E35/H35</f>
        <v>0</v>
      </c>
      <c r="AS35" t="e">
        <f>I35/K35</f>
        <v>#DIV/0!</v>
      </c>
      <c r="AT35">
        <v>5</v>
      </c>
      <c r="AU35" t="s">
        <v>129</v>
      </c>
      <c r="AZ35">
        <v>1</v>
      </c>
      <c r="BA35">
        <v>10</v>
      </c>
      <c r="BB35">
        <v>100</v>
      </c>
      <c r="BC35">
        <v>11</v>
      </c>
      <c r="BD35">
        <v>9.3999996185302699</v>
      </c>
      <c r="BE35">
        <v>22.899999618530298</v>
      </c>
      <c r="BG35">
        <v>1</v>
      </c>
      <c r="BH35">
        <v>100</v>
      </c>
      <c r="BI35">
        <v>19.600000381469702</v>
      </c>
      <c r="BJ35">
        <v>115</v>
      </c>
      <c r="BK35">
        <v>105</v>
      </c>
      <c r="BL35">
        <v>85.400001525878906</v>
      </c>
    </row>
    <row r="36" spans="1:64" x14ac:dyDescent="0.25">
      <c r="A36" s="6" t="s">
        <v>39</v>
      </c>
      <c r="B36" s="7"/>
      <c r="C36" s="7"/>
      <c r="D36" s="7">
        <f>AVERAGE(40,61,84,68)</f>
        <v>63.25</v>
      </c>
      <c r="E36" s="22">
        <f>AVERAGE(9.7,11.9,15.3,17,21)*4</f>
        <v>59.92</v>
      </c>
      <c r="F36" s="7">
        <v>10</v>
      </c>
      <c r="G36" s="7">
        <v>14.5</v>
      </c>
      <c r="H36" s="15">
        <f>AVERAGE(13,13,13,13,10.5,10.5,13.5,14.5,14.5,13,12.5,10.5,13.5,12,13,13,10,10.5)</f>
        <v>12.416666666666666</v>
      </c>
      <c r="I36" s="23"/>
      <c r="J36" s="19"/>
      <c r="K36" s="19">
        <f>AVERAGE(229,214.2,211.7,259.8,253.4,381.7,300.6,242.2,141.5,208.2,143.8,131.9,153.5,192,194,200.5,272.2,260.2,260.2,247.2,250,286.5)</f>
        <v>228.83181818181814</v>
      </c>
      <c r="L36" s="19">
        <f>AVERAGE(416,527,469,509,379)</f>
        <v>460</v>
      </c>
      <c r="M36" s="6"/>
      <c r="AR36">
        <f>E36/H36</f>
        <v>4.8257718120805375</v>
      </c>
      <c r="AS36">
        <f>I36/K36</f>
        <v>0</v>
      </c>
      <c r="AT36">
        <v>6</v>
      </c>
      <c r="AU36" t="s">
        <v>130</v>
      </c>
      <c r="AZ36">
        <v>1</v>
      </c>
      <c r="BA36">
        <v>10</v>
      </c>
      <c r="BB36">
        <v>100</v>
      </c>
      <c r="BC36">
        <v>10.5</v>
      </c>
      <c r="BD36">
        <v>9</v>
      </c>
      <c r="BE36">
        <v>22.899999618530298</v>
      </c>
      <c r="BG36">
        <v>1</v>
      </c>
      <c r="BH36">
        <v>100</v>
      </c>
      <c r="BI36">
        <v>19.600000381469702</v>
      </c>
      <c r="BJ36">
        <v>115</v>
      </c>
      <c r="BK36">
        <v>110</v>
      </c>
      <c r="BL36">
        <v>89.5</v>
      </c>
    </row>
    <row r="37" spans="1:64" x14ac:dyDescent="0.25">
      <c r="AZ37">
        <v>1</v>
      </c>
      <c r="BA37">
        <v>10</v>
      </c>
      <c r="BB37">
        <v>100</v>
      </c>
      <c r="BC37">
        <v>10.5</v>
      </c>
      <c r="BD37">
        <v>9</v>
      </c>
      <c r="BE37">
        <v>22.899999618530298</v>
      </c>
      <c r="BG37">
        <v>1</v>
      </c>
      <c r="BH37">
        <v>100</v>
      </c>
      <c r="BI37">
        <v>19.600000381469702</v>
      </c>
      <c r="BJ37">
        <v>115</v>
      </c>
      <c r="BK37">
        <v>110</v>
      </c>
      <c r="BL37">
        <v>89.5</v>
      </c>
    </row>
    <row r="38" spans="1:64" x14ac:dyDescent="0.25">
      <c r="AZ38">
        <v>1</v>
      </c>
      <c r="BA38">
        <v>10</v>
      </c>
      <c r="BB38">
        <v>125</v>
      </c>
      <c r="BC38">
        <v>10.5</v>
      </c>
      <c r="BD38">
        <v>9</v>
      </c>
      <c r="BE38">
        <v>25.5</v>
      </c>
      <c r="BG38">
        <v>1</v>
      </c>
      <c r="BH38">
        <v>100</v>
      </c>
      <c r="BI38">
        <v>19.600000381469702</v>
      </c>
      <c r="BJ38">
        <v>115</v>
      </c>
      <c r="BK38">
        <v>105</v>
      </c>
      <c r="BL38">
        <v>85.400001525878906</v>
      </c>
    </row>
    <row r="39" spans="1:64" x14ac:dyDescent="0.25">
      <c r="AZ39">
        <v>1</v>
      </c>
      <c r="BA39">
        <v>10</v>
      </c>
      <c r="BB39">
        <v>125</v>
      </c>
      <c r="BC39">
        <v>11</v>
      </c>
      <c r="BD39">
        <v>9.3999996185302699</v>
      </c>
      <c r="BE39">
        <v>25.5</v>
      </c>
      <c r="BG39">
        <v>1</v>
      </c>
      <c r="BH39">
        <v>100</v>
      </c>
      <c r="BI39">
        <v>19.600000381469702</v>
      </c>
      <c r="BJ39">
        <v>115</v>
      </c>
      <c r="BK39">
        <v>105</v>
      </c>
      <c r="BL39">
        <v>85.400001525878906</v>
      </c>
    </row>
    <row r="40" spans="1:64" x14ac:dyDescent="0.25">
      <c r="AZ40">
        <v>1</v>
      </c>
      <c r="BA40">
        <v>10</v>
      </c>
      <c r="BB40">
        <v>125</v>
      </c>
      <c r="BC40">
        <v>11</v>
      </c>
      <c r="BD40">
        <v>9.3999996185302699</v>
      </c>
      <c r="BE40">
        <v>25.5</v>
      </c>
      <c r="BG40">
        <v>1</v>
      </c>
      <c r="BH40">
        <v>30</v>
      </c>
      <c r="BI40">
        <v>21</v>
      </c>
      <c r="BJ40">
        <v>115</v>
      </c>
      <c r="BK40">
        <v>31.5</v>
      </c>
      <c r="BL40">
        <v>25.799999237060501</v>
      </c>
    </row>
    <row r="41" spans="1:64" x14ac:dyDescent="0.25">
      <c r="AU41" t="s">
        <v>211</v>
      </c>
      <c r="AZ41">
        <v>1</v>
      </c>
      <c r="BA41">
        <v>10</v>
      </c>
      <c r="BB41">
        <v>125</v>
      </c>
      <c r="BC41">
        <v>10.5</v>
      </c>
      <c r="BD41">
        <v>9</v>
      </c>
      <c r="BE41">
        <v>25.5</v>
      </c>
      <c r="BG41">
        <v>1</v>
      </c>
      <c r="BH41">
        <v>30</v>
      </c>
      <c r="BI41">
        <v>21</v>
      </c>
      <c r="BJ41">
        <v>115</v>
      </c>
      <c r="BK41">
        <v>33</v>
      </c>
      <c r="BL41">
        <v>27.100000381469702</v>
      </c>
    </row>
    <row r="42" spans="1:64" x14ac:dyDescent="0.25">
      <c r="AZ42">
        <v>1</v>
      </c>
      <c r="BA42">
        <v>10</v>
      </c>
      <c r="BB42">
        <v>125</v>
      </c>
      <c r="BC42">
        <v>10.5</v>
      </c>
      <c r="BD42">
        <v>9</v>
      </c>
      <c r="BE42">
        <v>25.5</v>
      </c>
      <c r="BG42">
        <v>1</v>
      </c>
      <c r="BH42">
        <v>30</v>
      </c>
      <c r="BI42">
        <v>21</v>
      </c>
      <c r="BJ42">
        <v>115</v>
      </c>
      <c r="BK42">
        <v>33</v>
      </c>
      <c r="BL42">
        <v>27.100000381469702</v>
      </c>
    </row>
    <row r="43" spans="1:64" x14ac:dyDescent="0.25">
      <c r="AZ43">
        <v>1</v>
      </c>
      <c r="BA43">
        <v>10</v>
      </c>
      <c r="BB43">
        <v>150</v>
      </c>
      <c r="BC43">
        <v>10.5</v>
      </c>
      <c r="BD43">
        <v>9</v>
      </c>
      <c r="BE43">
        <v>34.700000762939503</v>
      </c>
      <c r="BG43">
        <v>1</v>
      </c>
      <c r="BH43">
        <v>30</v>
      </c>
      <c r="BI43">
        <v>21</v>
      </c>
      <c r="BJ43">
        <v>115</v>
      </c>
      <c r="BK43">
        <v>31.5</v>
      </c>
      <c r="BL43">
        <v>25.799999237060501</v>
      </c>
    </row>
    <row r="44" spans="1:64" x14ac:dyDescent="0.25">
      <c r="AZ44">
        <v>1</v>
      </c>
      <c r="BA44">
        <v>10</v>
      </c>
      <c r="BB44">
        <v>150</v>
      </c>
      <c r="BC44">
        <v>11</v>
      </c>
      <c r="BD44">
        <v>9.3999996185302699</v>
      </c>
      <c r="BE44">
        <v>34.700000762939503</v>
      </c>
      <c r="BG44">
        <v>1</v>
      </c>
      <c r="BH44">
        <v>30</v>
      </c>
      <c r="BI44">
        <v>21</v>
      </c>
      <c r="BJ44">
        <v>115</v>
      </c>
      <c r="BK44">
        <v>31.5</v>
      </c>
      <c r="BL44">
        <v>25.799999237060501</v>
      </c>
    </row>
    <row r="45" spans="1:64" x14ac:dyDescent="0.25">
      <c r="AZ45">
        <v>1</v>
      </c>
      <c r="BA45">
        <v>10</v>
      </c>
      <c r="BB45">
        <v>150</v>
      </c>
      <c r="BC45">
        <v>11</v>
      </c>
      <c r="BD45">
        <v>9.3999996185302699</v>
      </c>
      <c r="BE45">
        <v>34.700000762939503</v>
      </c>
      <c r="BG45">
        <v>1</v>
      </c>
      <c r="BH45">
        <v>150</v>
      </c>
      <c r="BI45">
        <v>18.799999237060501</v>
      </c>
      <c r="BJ45">
        <v>115</v>
      </c>
      <c r="BK45">
        <v>157.5</v>
      </c>
      <c r="BL45">
        <v>126.300003051758</v>
      </c>
    </row>
    <row r="46" spans="1:64" x14ac:dyDescent="0.25">
      <c r="AZ46">
        <v>1</v>
      </c>
      <c r="BA46">
        <v>10</v>
      </c>
      <c r="BB46">
        <v>150</v>
      </c>
      <c r="BC46">
        <v>10.5</v>
      </c>
      <c r="BD46">
        <v>9</v>
      </c>
      <c r="BE46">
        <v>34.700000762939503</v>
      </c>
      <c r="BG46">
        <v>1</v>
      </c>
      <c r="BH46">
        <v>150</v>
      </c>
      <c r="BI46">
        <v>18.799999237060501</v>
      </c>
      <c r="BJ46">
        <v>115</v>
      </c>
      <c r="BK46">
        <v>165</v>
      </c>
      <c r="BL46">
        <v>132.39999389648401</v>
      </c>
    </row>
    <row r="47" spans="1:64" x14ac:dyDescent="0.25">
      <c r="AZ47">
        <v>1</v>
      </c>
      <c r="BA47">
        <v>10</v>
      </c>
      <c r="BB47">
        <v>150</v>
      </c>
      <c r="BC47">
        <v>10.5</v>
      </c>
      <c r="BD47">
        <v>9</v>
      </c>
      <c r="BE47">
        <v>34.700000762939503</v>
      </c>
      <c r="BG47">
        <v>1</v>
      </c>
      <c r="BH47">
        <v>150</v>
      </c>
      <c r="BI47">
        <v>18.799999237060501</v>
      </c>
      <c r="BJ47">
        <v>115</v>
      </c>
      <c r="BK47">
        <v>165</v>
      </c>
      <c r="BL47">
        <v>132.39999389648401</v>
      </c>
    </row>
    <row r="48" spans="1:64" x14ac:dyDescent="0.25">
      <c r="AZ48">
        <v>1</v>
      </c>
      <c r="BA48">
        <v>10</v>
      </c>
      <c r="BB48">
        <v>175</v>
      </c>
      <c r="BC48">
        <v>10.5</v>
      </c>
      <c r="BD48">
        <v>9</v>
      </c>
      <c r="BE48">
        <v>30.799999237060501</v>
      </c>
      <c r="BG48">
        <v>1</v>
      </c>
      <c r="BH48">
        <v>150</v>
      </c>
      <c r="BI48">
        <v>18.799999237060501</v>
      </c>
      <c r="BJ48">
        <v>115</v>
      </c>
      <c r="BK48">
        <v>157.5</v>
      </c>
      <c r="BL48">
        <v>126.300003051758</v>
      </c>
    </row>
    <row r="49" spans="52:64" x14ac:dyDescent="0.25">
      <c r="AZ49">
        <v>1</v>
      </c>
      <c r="BA49">
        <v>10</v>
      </c>
      <c r="BB49">
        <v>175</v>
      </c>
      <c r="BC49">
        <v>11</v>
      </c>
      <c r="BD49">
        <v>9.3999996185302699</v>
      </c>
      <c r="BE49">
        <v>30.799999237060501</v>
      </c>
      <c r="BG49">
        <v>1</v>
      </c>
      <c r="BH49">
        <v>150</v>
      </c>
      <c r="BI49">
        <v>18.799999237060501</v>
      </c>
      <c r="BJ49">
        <v>115</v>
      </c>
      <c r="BK49">
        <v>157.5</v>
      </c>
      <c r="BL49">
        <v>126.300003051758</v>
      </c>
    </row>
    <row r="50" spans="52:64" x14ac:dyDescent="0.25">
      <c r="AZ50">
        <v>1</v>
      </c>
      <c r="BA50">
        <v>10</v>
      </c>
      <c r="BB50">
        <v>175</v>
      </c>
      <c r="BC50">
        <v>11</v>
      </c>
      <c r="BD50">
        <v>9.3999996185302699</v>
      </c>
      <c r="BE50">
        <v>30.799999237060501</v>
      </c>
      <c r="BG50">
        <v>1</v>
      </c>
      <c r="BH50">
        <v>200</v>
      </c>
      <c r="BI50">
        <v>18.700000762939499</v>
      </c>
      <c r="BJ50">
        <v>115</v>
      </c>
      <c r="BK50">
        <v>210</v>
      </c>
      <c r="BL50">
        <v>166.5</v>
      </c>
    </row>
    <row r="51" spans="52:64" x14ac:dyDescent="0.25">
      <c r="AZ51">
        <v>1</v>
      </c>
      <c r="BA51">
        <v>10</v>
      </c>
      <c r="BB51">
        <v>175</v>
      </c>
      <c r="BC51">
        <v>10.5</v>
      </c>
      <c r="BD51">
        <v>9</v>
      </c>
      <c r="BE51">
        <v>30.799999237060501</v>
      </c>
      <c r="BG51">
        <v>1</v>
      </c>
      <c r="BH51">
        <v>200</v>
      </c>
      <c r="BI51">
        <v>18.700000762939499</v>
      </c>
      <c r="BJ51">
        <v>115</v>
      </c>
      <c r="BK51">
        <v>220</v>
      </c>
      <c r="BL51">
        <v>174.39999389648401</v>
      </c>
    </row>
    <row r="52" spans="52:64" x14ac:dyDescent="0.25">
      <c r="AZ52">
        <v>1</v>
      </c>
      <c r="BA52">
        <v>10</v>
      </c>
      <c r="BB52">
        <v>175</v>
      </c>
      <c r="BC52">
        <v>10.5</v>
      </c>
      <c r="BD52">
        <v>9</v>
      </c>
      <c r="BE52">
        <v>30.799999237060501</v>
      </c>
      <c r="BG52">
        <v>1</v>
      </c>
      <c r="BH52">
        <v>200</v>
      </c>
      <c r="BI52">
        <v>18.700000762939499</v>
      </c>
      <c r="BJ52">
        <v>115</v>
      </c>
      <c r="BK52">
        <v>220</v>
      </c>
      <c r="BL52">
        <v>174.39999389648401</v>
      </c>
    </row>
    <row r="53" spans="52:64" x14ac:dyDescent="0.25">
      <c r="AZ53">
        <v>1</v>
      </c>
      <c r="BA53">
        <v>15</v>
      </c>
      <c r="BB53">
        <v>100</v>
      </c>
      <c r="BC53">
        <v>15.800000190734901</v>
      </c>
      <c r="BD53">
        <v>13.3999996185303</v>
      </c>
      <c r="BE53">
        <v>21.799999237060501</v>
      </c>
      <c r="BG53">
        <v>1</v>
      </c>
      <c r="BH53">
        <v>200</v>
      </c>
      <c r="BI53">
        <v>18.700000762939499</v>
      </c>
      <c r="BJ53">
        <v>115</v>
      </c>
      <c r="BK53">
        <v>210</v>
      </c>
      <c r="BL53">
        <v>166.5</v>
      </c>
    </row>
    <row r="54" spans="52:64" x14ac:dyDescent="0.25">
      <c r="AZ54">
        <v>1</v>
      </c>
      <c r="BA54">
        <v>15</v>
      </c>
      <c r="BB54">
        <v>100</v>
      </c>
      <c r="BC54">
        <v>16.5</v>
      </c>
      <c r="BD54">
        <v>14.1000003814697</v>
      </c>
      <c r="BE54">
        <v>21.799999237060501</v>
      </c>
      <c r="BG54">
        <v>1</v>
      </c>
      <c r="BH54">
        <v>200</v>
      </c>
      <c r="BI54">
        <v>18.700000762939499</v>
      </c>
      <c r="BJ54">
        <v>115</v>
      </c>
      <c r="BK54">
        <v>210</v>
      </c>
      <c r="BL54">
        <v>166.5</v>
      </c>
    </row>
    <row r="55" spans="52:64" x14ac:dyDescent="0.25">
      <c r="AZ55">
        <v>1</v>
      </c>
      <c r="BA55">
        <v>15</v>
      </c>
      <c r="BB55">
        <v>100</v>
      </c>
      <c r="BC55">
        <v>16.5</v>
      </c>
      <c r="BD55">
        <v>14.1000003814697</v>
      </c>
      <c r="BE55">
        <v>21.799999237060501</v>
      </c>
      <c r="BG55">
        <v>1</v>
      </c>
      <c r="BH55">
        <v>250</v>
      </c>
      <c r="BI55">
        <v>19.200000762939499</v>
      </c>
      <c r="BJ55">
        <v>115</v>
      </c>
      <c r="BK55">
        <v>262.5</v>
      </c>
      <c r="BL55">
        <v>209.19999694824199</v>
      </c>
    </row>
    <row r="56" spans="52:64" x14ac:dyDescent="0.25">
      <c r="AZ56">
        <v>1</v>
      </c>
      <c r="BA56">
        <v>15</v>
      </c>
      <c r="BB56">
        <v>100</v>
      </c>
      <c r="BC56">
        <v>15.800000190734901</v>
      </c>
      <c r="BD56">
        <v>13.3999996185303</v>
      </c>
      <c r="BE56">
        <v>21.799999237060501</v>
      </c>
      <c r="BG56">
        <v>1</v>
      </c>
      <c r="BH56">
        <v>250</v>
      </c>
      <c r="BI56">
        <v>19.200000762939499</v>
      </c>
      <c r="BJ56">
        <v>115</v>
      </c>
      <c r="BK56">
        <v>275</v>
      </c>
      <c r="BL56">
        <v>219.19999694824199</v>
      </c>
    </row>
    <row r="57" spans="52:64" x14ac:dyDescent="0.25">
      <c r="AZ57">
        <v>1</v>
      </c>
      <c r="BA57">
        <v>15</v>
      </c>
      <c r="BB57">
        <v>100</v>
      </c>
      <c r="BC57">
        <v>15.800000190734901</v>
      </c>
      <c r="BD57">
        <v>13.3999996185303</v>
      </c>
      <c r="BE57">
        <v>21.799999237060501</v>
      </c>
      <c r="BG57">
        <v>1</v>
      </c>
      <c r="BH57">
        <v>250</v>
      </c>
      <c r="BI57">
        <v>19.200000762939499</v>
      </c>
      <c r="BJ57">
        <v>115</v>
      </c>
      <c r="BK57">
        <v>275</v>
      </c>
      <c r="BL57">
        <v>219.19999694824199</v>
      </c>
    </row>
    <row r="58" spans="52:64" x14ac:dyDescent="0.25">
      <c r="AZ58">
        <v>1</v>
      </c>
      <c r="BA58">
        <v>15</v>
      </c>
      <c r="BB58">
        <v>125</v>
      </c>
      <c r="BC58">
        <v>15.800000190734901</v>
      </c>
      <c r="BD58">
        <v>13.3999996185303</v>
      </c>
      <c r="BE58">
        <v>25.100000381469702</v>
      </c>
      <c r="BG58">
        <v>1</v>
      </c>
      <c r="BH58">
        <v>250</v>
      </c>
      <c r="BI58">
        <v>19.200000762939499</v>
      </c>
      <c r="BJ58">
        <v>115</v>
      </c>
      <c r="BK58">
        <v>262.5</v>
      </c>
      <c r="BL58">
        <v>209.19999694824199</v>
      </c>
    </row>
    <row r="59" spans="52:64" x14ac:dyDescent="0.25">
      <c r="AZ59">
        <v>1</v>
      </c>
      <c r="BA59">
        <v>15</v>
      </c>
      <c r="BB59">
        <v>125</v>
      </c>
      <c r="BC59">
        <v>16.5</v>
      </c>
      <c r="BD59">
        <v>14.1000003814697</v>
      </c>
      <c r="BE59">
        <v>25.100000381469702</v>
      </c>
      <c r="BG59">
        <v>1</v>
      </c>
      <c r="BH59">
        <v>250</v>
      </c>
      <c r="BI59">
        <v>19.200000762939499</v>
      </c>
      <c r="BJ59">
        <v>115</v>
      </c>
      <c r="BK59">
        <v>262.5</v>
      </c>
      <c r="BL59">
        <v>209.19999694824199</v>
      </c>
    </row>
    <row r="60" spans="52:64" x14ac:dyDescent="0.25">
      <c r="AZ60">
        <v>1</v>
      </c>
      <c r="BA60">
        <v>15</v>
      </c>
      <c r="BB60">
        <v>125</v>
      </c>
      <c r="BC60">
        <v>16.5</v>
      </c>
      <c r="BD60">
        <v>14.1000003814697</v>
      </c>
      <c r="BE60">
        <v>25.100000381469702</v>
      </c>
      <c r="BG60">
        <v>1</v>
      </c>
      <c r="BH60">
        <v>300</v>
      </c>
      <c r="BI60">
        <v>19.100000381469702</v>
      </c>
      <c r="BJ60">
        <v>115</v>
      </c>
      <c r="BK60">
        <v>315</v>
      </c>
      <c r="BL60">
        <v>249.69999694824199</v>
      </c>
    </row>
    <row r="61" spans="52:64" x14ac:dyDescent="0.25">
      <c r="AZ61">
        <v>1</v>
      </c>
      <c r="BA61">
        <v>15</v>
      </c>
      <c r="BB61">
        <v>125</v>
      </c>
      <c r="BC61">
        <v>15.800000190734901</v>
      </c>
      <c r="BD61">
        <v>13.3999996185303</v>
      </c>
      <c r="BE61">
        <v>25.100000381469702</v>
      </c>
      <c r="BG61">
        <v>1</v>
      </c>
      <c r="BH61">
        <v>300</v>
      </c>
      <c r="BI61">
        <v>19.100000381469702</v>
      </c>
      <c r="BJ61">
        <v>115</v>
      </c>
      <c r="BK61">
        <v>330</v>
      </c>
      <c r="BL61">
        <v>261.60000610351602</v>
      </c>
    </row>
    <row r="62" spans="52:64" x14ac:dyDescent="0.25">
      <c r="AZ62">
        <v>1</v>
      </c>
      <c r="BA62">
        <v>15</v>
      </c>
      <c r="BB62">
        <v>125</v>
      </c>
      <c r="BC62">
        <v>15.800000190734901</v>
      </c>
      <c r="BD62">
        <v>13.3999996185303</v>
      </c>
      <c r="BE62">
        <v>25.100000381469702</v>
      </c>
      <c r="BG62">
        <v>1</v>
      </c>
      <c r="BH62">
        <v>300</v>
      </c>
      <c r="BI62">
        <v>19.100000381469702</v>
      </c>
      <c r="BJ62">
        <v>115</v>
      </c>
      <c r="BK62">
        <v>330</v>
      </c>
      <c r="BL62">
        <v>261.60000610351602</v>
      </c>
    </row>
    <row r="63" spans="52:64" x14ac:dyDescent="0.25">
      <c r="AZ63">
        <v>1</v>
      </c>
      <c r="BA63">
        <v>15</v>
      </c>
      <c r="BB63">
        <v>150</v>
      </c>
      <c r="BC63">
        <v>15.800000190734901</v>
      </c>
      <c r="BD63">
        <v>13.3999996185303</v>
      </c>
      <c r="BE63">
        <v>28.299999237060501</v>
      </c>
      <c r="BG63">
        <v>1</v>
      </c>
      <c r="BH63">
        <v>300</v>
      </c>
      <c r="BI63">
        <v>19.100000381469702</v>
      </c>
      <c r="BJ63">
        <v>115</v>
      </c>
      <c r="BK63">
        <v>315</v>
      </c>
      <c r="BL63">
        <v>249.69999694824199</v>
      </c>
    </row>
    <row r="64" spans="52:64" x14ac:dyDescent="0.25">
      <c r="AZ64">
        <v>1</v>
      </c>
      <c r="BA64">
        <v>15</v>
      </c>
      <c r="BB64">
        <v>150</v>
      </c>
      <c r="BC64">
        <v>16.5</v>
      </c>
      <c r="BD64">
        <v>14.1000003814697</v>
      </c>
      <c r="BE64">
        <v>28.299999237060501</v>
      </c>
      <c r="BG64">
        <v>1</v>
      </c>
      <c r="BH64">
        <v>300</v>
      </c>
      <c r="BI64">
        <v>19.100000381469702</v>
      </c>
      <c r="BJ64">
        <v>115</v>
      </c>
      <c r="BK64">
        <v>315</v>
      </c>
      <c r="BL64">
        <v>249.69999694824199</v>
      </c>
    </row>
    <row r="65" spans="22:64" x14ac:dyDescent="0.25">
      <c r="AZ65">
        <v>1</v>
      </c>
      <c r="BA65">
        <v>15</v>
      </c>
      <c r="BB65">
        <v>150</v>
      </c>
      <c r="BC65">
        <v>16.5</v>
      </c>
      <c r="BD65">
        <v>14.1000003814697</v>
      </c>
      <c r="BE65">
        <v>28.299999237060501</v>
      </c>
      <c r="BG65">
        <v>1</v>
      </c>
      <c r="BH65">
        <v>350</v>
      </c>
      <c r="BI65">
        <v>18.600000381469702</v>
      </c>
      <c r="BJ65">
        <v>115</v>
      </c>
      <c r="BK65">
        <v>367.5</v>
      </c>
      <c r="BL65">
        <v>290.10000610351602</v>
      </c>
    </row>
    <row r="66" spans="22:64" x14ac:dyDescent="0.25">
      <c r="AZ66">
        <v>1</v>
      </c>
      <c r="BA66">
        <v>15</v>
      </c>
      <c r="BB66">
        <v>150</v>
      </c>
      <c r="BC66">
        <v>15.800000190734901</v>
      </c>
      <c r="BD66">
        <v>13.3999996185303</v>
      </c>
      <c r="BE66">
        <v>28.299999237060501</v>
      </c>
      <c r="BG66">
        <v>1</v>
      </c>
      <c r="BH66">
        <v>350</v>
      </c>
      <c r="BI66">
        <v>18.600000381469702</v>
      </c>
      <c r="BJ66">
        <v>115</v>
      </c>
      <c r="BK66">
        <v>385</v>
      </c>
      <c r="BL66">
        <v>303.89999389648398</v>
      </c>
    </row>
    <row r="67" spans="22:64" x14ac:dyDescent="0.25">
      <c r="AZ67">
        <v>1</v>
      </c>
      <c r="BA67">
        <v>15</v>
      </c>
      <c r="BB67">
        <v>150</v>
      </c>
      <c r="BC67">
        <v>15.800000190734901</v>
      </c>
      <c r="BD67">
        <v>13.3999996185303</v>
      </c>
      <c r="BE67">
        <v>28.299999237060501</v>
      </c>
      <c r="BG67">
        <v>1</v>
      </c>
      <c r="BH67">
        <v>350</v>
      </c>
      <c r="BI67">
        <v>18.600000381469702</v>
      </c>
      <c r="BJ67">
        <v>115</v>
      </c>
      <c r="BK67">
        <v>385</v>
      </c>
      <c r="BL67">
        <v>303.89999389648398</v>
      </c>
    </row>
    <row r="68" spans="22:64" x14ac:dyDescent="0.25">
      <c r="AZ68">
        <v>1</v>
      </c>
      <c r="BA68">
        <v>15</v>
      </c>
      <c r="BB68">
        <v>175</v>
      </c>
      <c r="BC68">
        <v>15.800000190734901</v>
      </c>
      <c r="BD68">
        <v>13.3999996185303</v>
      </c>
      <c r="BE68">
        <v>29.200000762939499</v>
      </c>
      <c r="BG68">
        <v>1</v>
      </c>
      <c r="BH68">
        <v>350</v>
      </c>
      <c r="BI68">
        <v>18.600000381469702</v>
      </c>
      <c r="BJ68">
        <v>115</v>
      </c>
      <c r="BK68">
        <v>367.5</v>
      </c>
      <c r="BL68">
        <v>290.10000610351602</v>
      </c>
    </row>
    <row r="69" spans="22:64" x14ac:dyDescent="0.25">
      <c r="AZ69">
        <v>1</v>
      </c>
      <c r="BA69">
        <v>15</v>
      </c>
      <c r="BB69">
        <v>175</v>
      </c>
      <c r="BC69">
        <v>16.5</v>
      </c>
      <c r="BD69">
        <v>14.1000003814697</v>
      </c>
      <c r="BE69">
        <v>29.200000762939499</v>
      </c>
      <c r="BG69">
        <v>1</v>
      </c>
      <c r="BH69">
        <v>350</v>
      </c>
      <c r="BI69">
        <v>18.600000381469702</v>
      </c>
      <c r="BJ69">
        <v>115</v>
      </c>
      <c r="BK69">
        <v>367.5</v>
      </c>
      <c r="BL69">
        <v>290.10000610351602</v>
      </c>
    </row>
    <row r="70" spans="22:64" x14ac:dyDescent="0.25">
      <c r="AZ70">
        <v>1</v>
      </c>
      <c r="BA70">
        <v>15</v>
      </c>
      <c r="BB70">
        <v>175</v>
      </c>
      <c r="BC70">
        <v>16.5</v>
      </c>
      <c r="BD70">
        <v>14.1000003814697</v>
      </c>
      <c r="BE70">
        <v>29.200000762939499</v>
      </c>
      <c r="BG70">
        <v>1</v>
      </c>
      <c r="BH70">
        <v>450</v>
      </c>
      <c r="BI70">
        <v>18.200000762939499</v>
      </c>
      <c r="BJ70">
        <v>115</v>
      </c>
      <c r="BK70">
        <v>472.5</v>
      </c>
      <c r="BL70">
        <v>371</v>
      </c>
    </row>
    <row r="71" spans="22:64" x14ac:dyDescent="0.25">
      <c r="AZ71">
        <v>1</v>
      </c>
      <c r="BA71">
        <v>15</v>
      </c>
      <c r="BB71">
        <v>175</v>
      </c>
      <c r="BC71">
        <v>15.800000190734901</v>
      </c>
      <c r="BD71">
        <v>13.3999996185303</v>
      </c>
      <c r="BE71">
        <v>29.200000762939499</v>
      </c>
      <c r="BG71">
        <v>1</v>
      </c>
      <c r="BH71">
        <v>450</v>
      </c>
      <c r="BI71">
        <v>18.200000762939499</v>
      </c>
      <c r="BJ71">
        <v>115</v>
      </c>
      <c r="BK71">
        <v>495</v>
      </c>
      <c r="BL71">
        <v>388.70001220703102</v>
      </c>
    </row>
    <row r="72" spans="22:64" x14ac:dyDescent="0.25">
      <c r="AZ72">
        <v>1</v>
      </c>
      <c r="BA72">
        <v>15</v>
      </c>
      <c r="BB72">
        <v>175</v>
      </c>
      <c r="BC72">
        <v>15.800000190734901</v>
      </c>
      <c r="BD72">
        <v>13.3999996185303</v>
      </c>
      <c r="BE72">
        <v>29.200000762939499</v>
      </c>
      <c r="BG72">
        <v>1</v>
      </c>
      <c r="BH72">
        <v>450</v>
      </c>
      <c r="BI72">
        <v>18.200000762939499</v>
      </c>
      <c r="BJ72">
        <v>115</v>
      </c>
      <c r="BK72">
        <v>495</v>
      </c>
      <c r="BL72">
        <v>388.70001220703102</v>
      </c>
    </row>
    <row r="73" spans="22:64" x14ac:dyDescent="0.25">
      <c r="AZ73">
        <v>1</v>
      </c>
      <c r="BA73">
        <v>20</v>
      </c>
      <c r="BB73">
        <v>100</v>
      </c>
      <c r="BC73">
        <v>21</v>
      </c>
      <c r="BD73">
        <v>17.5</v>
      </c>
      <c r="BE73">
        <v>21.299999237060501</v>
      </c>
      <c r="BG73">
        <v>1</v>
      </c>
      <c r="BH73">
        <v>450</v>
      </c>
      <c r="BI73">
        <v>18.200000762939499</v>
      </c>
      <c r="BJ73">
        <v>115</v>
      </c>
      <c r="BK73">
        <v>472.5</v>
      </c>
      <c r="BL73">
        <v>371</v>
      </c>
    </row>
    <row r="74" spans="22:64" x14ac:dyDescent="0.25">
      <c r="AZ74">
        <v>1</v>
      </c>
      <c r="BA74">
        <v>20</v>
      </c>
      <c r="BB74">
        <v>100</v>
      </c>
      <c r="BC74">
        <v>22</v>
      </c>
      <c r="BD74">
        <v>18.299999237060501</v>
      </c>
      <c r="BE74">
        <v>21.299999237060501</v>
      </c>
      <c r="BG74">
        <v>1</v>
      </c>
      <c r="BH74">
        <v>450</v>
      </c>
      <c r="BI74">
        <v>18.200000762939499</v>
      </c>
      <c r="BJ74">
        <v>115</v>
      </c>
      <c r="BK74">
        <v>472.5</v>
      </c>
      <c r="BL74">
        <v>371</v>
      </c>
    </row>
    <row r="75" spans="22:64" x14ac:dyDescent="0.25">
      <c r="V75">
        <v>1</v>
      </c>
      <c r="W75">
        <v>20</v>
      </c>
      <c r="X75">
        <v>100</v>
      </c>
      <c r="Y75">
        <v>22</v>
      </c>
      <c r="Z75">
        <v>18.299999237060501</v>
      </c>
      <c r="AA75">
        <v>21.299999237060501</v>
      </c>
    </row>
    <row r="76" spans="22:64" x14ac:dyDescent="0.25">
      <c r="V76">
        <v>1</v>
      </c>
      <c r="W76">
        <v>20</v>
      </c>
      <c r="X76">
        <v>100</v>
      </c>
      <c r="Y76">
        <v>21</v>
      </c>
      <c r="Z76">
        <v>17.5</v>
      </c>
      <c r="AA76">
        <v>21.299999237060501</v>
      </c>
    </row>
    <row r="77" spans="22:64" x14ac:dyDescent="0.25">
      <c r="V77">
        <v>1</v>
      </c>
      <c r="W77">
        <v>20</v>
      </c>
      <c r="X77">
        <v>100</v>
      </c>
      <c r="Y77">
        <v>21</v>
      </c>
      <c r="Z77">
        <v>17.5</v>
      </c>
      <c r="AA77">
        <v>21.299999237060501</v>
      </c>
    </row>
    <row r="78" spans="22:64" x14ac:dyDescent="0.25">
      <c r="V78">
        <v>1</v>
      </c>
      <c r="W78">
        <v>20</v>
      </c>
      <c r="X78">
        <v>125</v>
      </c>
      <c r="Y78">
        <v>21</v>
      </c>
      <c r="Z78">
        <v>17.5</v>
      </c>
      <c r="AA78">
        <v>24.899999618530298</v>
      </c>
    </row>
    <row r="79" spans="22:64" x14ac:dyDescent="0.25">
      <c r="V79">
        <v>1</v>
      </c>
      <c r="W79">
        <v>20</v>
      </c>
      <c r="X79">
        <v>125</v>
      </c>
      <c r="Y79">
        <v>22</v>
      </c>
      <c r="Z79">
        <v>18.299999237060501</v>
      </c>
      <c r="AA79">
        <v>24.899999618530298</v>
      </c>
    </row>
    <row r="80" spans="22:64" x14ac:dyDescent="0.25">
      <c r="V80">
        <v>1</v>
      </c>
      <c r="W80">
        <v>20</v>
      </c>
      <c r="X80">
        <v>125</v>
      </c>
      <c r="Y80">
        <v>22</v>
      </c>
      <c r="Z80">
        <v>18.299999237060501</v>
      </c>
      <c r="AA80">
        <v>24.899999618530298</v>
      </c>
    </row>
    <row r="81" spans="22:27" x14ac:dyDescent="0.25">
      <c r="V81">
        <v>1</v>
      </c>
      <c r="W81">
        <v>20</v>
      </c>
      <c r="X81">
        <v>125</v>
      </c>
      <c r="Y81">
        <v>21</v>
      </c>
      <c r="Z81">
        <v>17.5</v>
      </c>
      <c r="AA81">
        <v>24.899999618530298</v>
      </c>
    </row>
    <row r="82" spans="22:27" x14ac:dyDescent="0.25">
      <c r="V82">
        <v>1</v>
      </c>
      <c r="W82">
        <v>20</v>
      </c>
      <c r="X82">
        <v>125</v>
      </c>
      <c r="Y82">
        <v>21</v>
      </c>
      <c r="Z82">
        <v>17.5</v>
      </c>
      <c r="AA82">
        <v>24.899999618530298</v>
      </c>
    </row>
    <row r="83" spans="22:27" x14ac:dyDescent="0.25">
      <c r="V83">
        <v>1</v>
      </c>
      <c r="W83">
        <v>20</v>
      </c>
      <c r="X83">
        <v>150</v>
      </c>
      <c r="Y83">
        <v>21</v>
      </c>
      <c r="Z83">
        <v>17.5</v>
      </c>
      <c r="AA83">
        <v>29.100000381469702</v>
      </c>
    </row>
    <row r="84" spans="22:27" x14ac:dyDescent="0.25">
      <c r="V84">
        <v>1</v>
      </c>
      <c r="W84">
        <v>20</v>
      </c>
      <c r="X84">
        <v>150</v>
      </c>
      <c r="Y84">
        <v>22</v>
      </c>
      <c r="Z84">
        <v>18.299999237060501</v>
      </c>
      <c r="AA84">
        <v>29.100000381469702</v>
      </c>
    </row>
    <row r="85" spans="22:27" x14ac:dyDescent="0.25">
      <c r="V85">
        <v>1</v>
      </c>
      <c r="W85">
        <v>20</v>
      </c>
      <c r="X85">
        <v>150</v>
      </c>
      <c r="Y85">
        <v>22</v>
      </c>
      <c r="Z85">
        <v>18.299999237060501</v>
      </c>
      <c r="AA85">
        <v>29.100000381469702</v>
      </c>
    </row>
    <row r="86" spans="22:27" x14ac:dyDescent="0.25">
      <c r="V86">
        <v>1</v>
      </c>
      <c r="W86">
        <v>20</v>
      </c>
      <c r="X86">
        <v>150</v>
      </c>
      <c r="Y86">
        <v>21</v>
      </c>
      <c r="Z86">
        <v>17.5</v>
      </c>
      <c r="AA86">
        <v>29.100000381469702</v>
      </c>
    </row>
    <row r="87" spans="22:27" x14ac:dyDescent="0.25">
      <c r="V87">
        <v>1</v>
      </c>
      <c r="W87">
        <v>20</v>
      </c>
      <c r="X87">
        <v>150</v>
      </c>
      <c r="Y87">
        <v>21</v>
      </c>
      <c r="Z87">
        <v>17.5</v>
      </c>
      <c r="AA87">
        <v>29.100000381469702</v>
      </c>
    </row>
    <row r="88" spans="22:27" x14ac:dyDescent="0.25">
      <c r="V88">
        <v>1</v>
      </c>
      <c r="W88">
        <v>20</v>
      </c>
      <c r="X88">
        <v>175</v>
      </c>
      <c r="Y88">
        <v>21</v>
      </c>
      <c r="Z88">
        <v>17.5</v>
      </c>
      <c r="AA88">
        <v>28.100000381469702</v>
      </c>
    </row>
    <row r="89" spans="22:27" x14ac:dyDescent="0.25">
      <c r="V89">
        <v>1</v>
      </c>
      <c r="W89">
        <v>20</v>
      </c>
      <c r="X89">
        <v>175</v>
      </c>
      <c r="Y89">
        <v>22</v>
      </c>
      <c r="Z89">
        <v>18.299999237060501</v>
      </c>
      <c r="AA89">
        <v>28.100000381469702</v>
      </c>
    </row>
    <row r="90" spans="22:27" x14ac:dyDescent="0.25">
      <c r="V90">
        <v>1</v>
      </c>
      <c r="W90">
        <v>20</v>
      </c>
      <c r="X90">
        <v>175</v>
      </c>
      <c r="Y90">
        <v>22</v>
      </c>
      <c r="Z90">
        <v>18.299999237060501</v>
      </c>
      <c r="AA90">
        <v>28.100000381469702</v>
      </c>
    </row>
    <row r="91" spans="22:27" x14ac:dyDescent="0.25">
      <c r="V91">
        <v>1</v>
      </c>
      <c r="W91">
        <v>20</v>
      </c>
      <c r="X91">
        <v>175</v>
      </c>
      <c r="Y91">
        <v>21</v>
      </c>
      <c r="Z91">
        <v>17.5</v>
      </c>
      <c r="AA91">
        <v>28.100000381469702</v>
      </c>
    </row>
    <row r="92" spans="22:27" x14ac:dyDescent="0.25">
      <c r="V92">
        <v>1</v>
      </c>
      <c r="W92">
        <v>20</v>
      </c>
      <c r="X92">
        <v>175</v>
      </c>
      <c r="Y92">
        <v>21</v>
      </c>
      <c r="Z92">
        <v>17.5</v>
      </c>
      <c r="AA92">
        <v>28.100000381469702</v>
      </c>
    </row>
    <row r="93" spans="22:27" x14ac:dyDescent="0.25">
      <c r="V93">
        <v>1</v>
      </c>
      <c r="W93">
        <v>25</v>
      </c>
      <c r="X93">
        <v>100</v>
      </c>
      <c r="Y93">
        <v>26.299999237060501</v>
      </c>
      <c r="Z93">
        <v>21.700000762939499</v>
      </c>
      <c r="AA93">
        <v>21.299999237060501</v>
      </c>
    </row>
    <row r="94" spans="22:27" x14ac:dyDescent="0.25">
      <c r="V94">
        <v>1</v>
      </c>
      <c r="W94">
        <v>25</v>
      </c>
      <c r="X94">
        <v>100</v>
      </c>
      <c r="Y94">
        <v>27.5</v>
      </c>
      <c r="Z94">
        <v>22.700000762939499</v>
      </c>
      <c r="AA94">
        <v>21.299999237060501</v>
      </c>
    </row>
    <row r="95" spans="22:27" x14ac:dyDescent="0.25">
      <c r="V95">
        <v>1</v>
      </c>
      <c r="W95">
        <v>25</v>
      </c>
      <c r="X95">
        <v>100</v>
      </c>
      <c r="Y95">
        <v>27.5</v>
      </c>
      <c r="Z95">
        <v>22.700000762939499</v>
      </c>
      <c r="AA95">
        <v>21.299999237060501</v>
      </c>
    </row>
    <row r="96" spans="22:27" x14ac:dyDescent="0.25">
      <c r="V96">
        <v>1</v>
      </c>
      <c r="W96">
        <v>25</v>
      </c>
      <c r="X96">
        <v>100</v>
      </c>
      <c r="Y96">
        <v>26.299999237060501</v>
      </c>
      <c r="Z96">
        <v>21.700000762939499</v>
      </c>
      <c r="AA96">
        <v>21.299999237060501</v>
      </c>
    </row>
    <row r="97" spans="22:27" x14ac:dyDescent="0.25">
      <c r="V97">
        <v>1</v>
      </c>
      <c r="W97">
        <v>25</v>
      </c>
      <c r="X97">
        <v>100</v>
      </c>
      <c r="Y97">
        <v>26.299999237060501</v>
      </c>
      <c r="Z97">
        <v>21.700000762939499</v>
      </c>
      <c r="AA97">
        <v>21.299999237060501</v>
      </c>
    </row>
    <row r="98" spans="22:27" x14ac:dyDescent="0.25">
      <c r="V98">
        <v>1</v>
      </c>
      <c r="W98">
        <v>25</v>
      </c>
      <c r="X98">
        <v>115</v>
      </c>
      <c r="Y98">
        <v>26.299999237060501</v>
      </c>
      <c r="Z98">
        <v>21.700000762939499</v>
      </c>
      <c r="AA98">
        <v>21.700000762939499</v>
      </c>
    </row>
    <row r="99" spans="22:27" x14ac:dyDescent="0.25">
      <c r="V99">
        <v>1</v>
      </c>
      <c r="W99">
        <v>25</v>
      </c>
      <c r="X99">
        <v>115</v>
      </c>
      <c r="Y99">
        <v>27.5</v>
      </c>
      <c r="Z99">
        <v>22.700000762939499</v>
      </c>
      <c r="AA99">
        <v>21.700000762939499</v>
      </c>
    </row>
    <row r="100" spans="22:27" x14ac:dyDescent="0.25">
      <c r="V100">
        <v>1</v>
      </c>
      <c r="W100">
        <v>25</v>
      </c>
      <c r="X100">
        <v>115</v>
      </c>
      <c r="Y100">
        <v>27.5</v>
      </c>
      <c r="Z100">
        <v>22.700000762939499</v>
      </c>
      <c r="AA100">
        <v>21.700000762939499</v>
      </c>
    </row>
    <row r="101" spans="22:27" x14ac:dyDescent="0.25">
      <c r="V101">
        <v>1</v>
      </c>
      <c r="W101">
        <v>25</v>
      </c>
      <c r="X101">
        <v>115</v>
      </c>
      <c r="Y101">
        <v>26.299999237060501</v>
      </c>
      <c r="Z101">
        <v>21.700000762939499</v>
      </c>
      <c r="AA101">
        <v>21.700000762939499</v>
      </c>
    </row>
    <row r="102" spans="22:27" x14ac:dyDescent="0.25">
      <c r="V102">
        <v>1</v>
      </c>
      <c r="W102">
        <v>25</v>
      </c>
      <c r="X102">
        <v>115</v>
      </c>
      <c r="Y102">
        <v>26.299999237060501</v>
      </c>
      <c r="Z102">
        <v>21.700000762939499</v>
      </c>
      <c r="AA102">
        <v>21.700000762939499</v>
      </c>
    </row>
    <row r="103" spans="22:27" x14ac:dyDescent="0.25">
      <c r="V103">
        <v>1</v>
      </c>
      <c r="W103">
        <v>25</v>
      </c>
      <c r="X103">
        <v>125</v>
      </c>
      <c r="Y103">
        <v>26.299999237060501</v>
      </c>
      <c r="Z103">
        <v>21.700000762939499</v>
      </c>
      <c r="AA103">
        <v>24.899999618530298</v>
      </c>
    </row>
    <row r="104" spans="22:27" x14ac:dyDescent="0.25">
      <c r="V104">
        <v>1</v>
      </c>
      <c r="W104">
        <v>25</v>
      </c>
      <c r="X104">
        <v>125</v>
      </c>
      <c r="Y104">
        <v>27.5</v>
      </c>
      <c r="Z104">
        <v>22.700000762939499</v>
      </c>
      <c r="AA104">
        <v>24.899999618530298</v>
      </c>
    </row>
    <row r="105" spans="22:27" x14ac:dyDescent="0.25">
      <c r="V105">
        <v>1</v>
      </c>
      <c r="W105">
        <v>25</v>
      </c>
      <c r="X105">
        <v>125</v>
      </c>
      <c r="Y105">
        <v>27.5</v>
      </c>
      <c r="Z105">
        <v>22.700000762939499</v>
      </c>
      <c r="AA105">
        <v>24.899999618530298</v>
      </c>
    </row>
    <row r="106" spans="22:27" x14ac:dyDescent="0.25">
      <c r="V106">
        <v>1</v>
      </c>
      <c r="W106">
        <v>25</v>
      </c>
      <c r="X106">
        <v>125</v>
      </c>
      <c r="Y106">
        <v>26.299999237060501</v>
      </c>
      <c r="Z106">
        <v>21.700000762939499</v>
      </c>
      <c r="AA106">
        <v>24.899999618530298</v>
      </c>
    </row>
    <row r="107" spans="22:27" x14ac:dyDescent="0.25">
      <c r="V107">
        <v>1</v>
      </c>
      <c r="W107">
        <v>25</v>
      </c>
      <c r="X107">
        <v>125</v>
      </c>
      <c r="Y107">
        <v>26.299999237060501</v>
      </c>
      <c r="Z107">
        <v>21.700000762939499</v>
      </c>
      <c r="AA107">
        <v>24.899999618530298</v>
      </c>
    </row>
    <row r="108" spans="22:27" x14ac:dyDescent="0.25">
      <c r="V108">
        <v>1</v>
      </c>
      <c r="W108">
        <v>25</v>
      </c>
      <c r="X108">
        <v>140</v>
      </c>
      <c r="Y108">
        <v>26.299999237060501</v>
      </c>
      <c r="Z108">
        <v>21.700000762939499</v>
      </c>
      <c r="AA108">
        <v>26.399999618530298</v>
      </c>
    </row>
    <row r="109" spans="22:27" x14ac:dyDescent="0.25">
      <c r="V109">
        <v>1</v>
      </c>
      <c r="W109">
        <v>25</v>
      </c>
      <c r="X109">
        <v>140</v>
      </c>
      <c r="Y109">
        <v>27.5</v>
      </c>
      <c r="Z109">
        <v>22.700000762939499</v>
      </c>
      <c r="AA109">
        <v>26.399999618530298</v>
      </c>
    </row>
    <row r="110" spans="22:27" x14ac:dyDescent="0.25">
      <c r="V110">
        <v>1</v>
      </c>
      <c r="W110">
        <v>25</v>
      </c>
      <c r="X110">
        <v>140</v>
      </c>
      <c r="Y110">
        <v>27.5</v>
      </c>
      <c r="Z110">
        <v>22.700000762939499</v>
      </c>
      <c r="AA110">
        <v>26.399999618530298</v>
      </c>
    </row>
    <row r="111" spans="22:27" x14ac:dyDescent="0.25">
      <c r="V111">
        <v>1</v>
      </c>
      <c r="W111">
        <v>25</v>
      </c>
      <c r="X111">
        <v>140</v>
      </c>
      <c r="Y111">
        <v>26.299999237060501</v>
      </c>
      <c r="Z111">
        <v>21.700000762939499</v>
      </c>
      <c r="AA111">
        <v>26.399999618530298</v>
      </c>
    </row>
    <row r="112" spans="22:27" x14ac:dyDescent="0.25">
      <c r="V112">
        <v>1</v>
      </c>
      <c r="W112">
        <v>25</v>
      </c>
      <c r="X112">
        <v>140</v>
      </c>
      <c r="Y112">
        <v>26.299999237060501</v>
      </c>
      <c r="Z112">
        <v>21.700000762939499</v>
      </c>
      <c r="AA112">
        <v>26.399999618530298</v>
      </c>
    </row>
    <row r="113" spans="22:27" x14ac:dyDescent="0.25">
      <c r="V113">
        <v>1</v>
      </c>
      <c r="W113">
        <v>25</v>
      </c>
      <c r="X113">
        <v>150</v>
      </c>
      <c r="Y113">
        <v>26.299999237060501</v>
      </c>
      <c r="Z113">
        <v>21.700000762939499</v>
      </c>
      <c r="AA113">
        <v>26.899999618530298</v>
      </c>
    </row>
    <row r="114" spans="22:27" x14ac:dyDescent="0.25">
      <c r="V114">
        <v>1</v>
      </c>
      <c r="W114">
        <v>25</v>
      </c>
      <c r="X114">
        <v>150</v>
      </c>
      <c r="Y114">
        <v>27.5</v>
      </c>
      <c r="Z114">
        <v>22.700000762939499</v>
      </c>
      <c r="AA114">
        <v>26.899999618530298</v>
      </c>
    </row>
    <row r="115" spans="22:27" x14ac:dyDescent="0.25">
      <c r="V115">
        <v>1</v>
      </c>
      <c r="W115">
        <v>25</v>
      </c>
      <c r="X115">
        <v>150</v>
      </c>
      <c r="Y115">
        <v>27.5</v>
      </c>
      <c r="Z115">
        <v>22.700000762939499</v>
      </c>
      <c r="AA115">
        <v>26.899999618530298</v>
      </c>
    </row>
    <row r="116" spans="22:27" x14ac:dyDescent="0.25">
      <c r="V116">
        <v>1</v>
      </c>
      <c r="W116">
        <v>25</v>
      </c>
      <c r="X116">
        <v>150</v>
      </c>
      <c r="Y116">
        <v>26.299999237060501</v>
      </c>
      <c r="Z116">
        <v>21.700000762939499</v>
      </c>
      <c r="AA116">
        <v>26.899999618530298</v>
      </c>
    </row>
    <row r="117" spans="22:27" x14ac:dyDescent="0.25">
      <c r="V117">
        <v>1</v>
      </c>
      <c r="W117">
        <v>25</v>
      </c>
      <c r="X117">
        <v>150</v>
      </c>
      <c r="Y117">
        <v>26.299999237060501</v>
      </c>
      <c r="Z117">
        <v>21.700000762939499</v>
      </c>
      <c r="AA117">
        <v>26.899999618530298</v>
      </c>
    </row>
    <row r="118" spans="22:27" x14ac:dyDescent="0.25">
      <c r="V118">
        <v>1</v>
      </c>
      <c r="W118">
        <v>25</v>
      </c>
      <c r="X118">
        <v>175</v>
      </c>
      <c r="Y118">
        <v>26.299999237060501</v>
      </c>
      <c r="Z118">
        <v>21.700000762939499</v>
      </c>
      <c r="AA118">
        <v>27.799999237060501</v>
      </c>
    </row>
    <row r="119" spans="22:27" x14ac:dyDescent="0.25">
      <c r="V119">
        <v>1</v>
      </c>
      <c r="W119">
        <v>25</v>
      </c>
      <c r="X119">
        <v>175</v>
      </c>
      <c r="Y119">
        <v>27.5</v>
      </c>
      <c r="Z119">
        <v>22.700000762939499</v>
      </c>
      <c r="AA119">
        <v>27.799999237060501</v>
      </c>
    </row>
    <row r="120" spans="22:27" x14ac:dyDescent="0.25">
      <c r="V120">
        <v>1</v>
      </c>
      <c r="W120">
        <v>25</v>
      </c>
      <c r="X120">
        <v>175</v>
      </c>
      <c r="Y120">
        <v>27.5</v>
      </c>
      <c r="Z120">
        <v>22.700000762939499</v>
      </c>
      <c r="AA120">
        <v>27.799999237060501</v>
      </c>
    </row>
    <row r="121" spans="22:27" x14ac:dyDescent="0.25">
      <c r="V121">
        <v>1</v>
      </c>
      <c r="W121">
        <v>25</v>
      </c>
      <c r="X121">
        <v>175</v>
      </c>
      <c r="Y121">
        <v>26.299999237060501</v>
      </c>
      <c r="Z121">
        <v>21.700000762939499</v>
      </c>
      <c r="AA121">
        <v>27.799999237060501</v>
      </c>
    </row>
    <row r="122" spans="22:27" x14ac:dyDescent="0.25">
      <c r="V122">
        <v>1</v>
      </c>
      <c r="W122">
        <v>25</v>
      </c>
      <c r="X122">
        <v>175</v>
      </c>
      <c r="Y122">
        <v>26.299999237060501</v>
      </c>
      <c r="Z122">
        <v>21.700000762939499</v>
      </c>
      <c r="AA122">
        <v>27.799999237060501</v>
      </c>
    </row>
    <row r="123" spans="22:27" x14ac:dyDescent="0.25">
      <c r="V123">
        <v>1</v>
      </c>
      <c r="W123">
        <v>25</v>
      </c>
      <c r="X123">
        <v>200</v>
      </c>
      <c r="Y123">
        <v>26.299999237060501</v>
      </c>
      <c r="Z123">
        <v>21.700000762939499</v>
      </c>
      <c r="AA123">
        <v>37.5</v>
      </c>
    </row>
    <row r="124" spans="22:27" x14ac:dyDescent="0.25">
      <c r="V124">
        <v>1</v>
      </c>
      <c r="W124">
        <v>25</v>
      </c>
      <c r="X124">
        <v>200</v>
      </c>
      <c r="Y124">
        <v>27.5</v>
      </c>
      <c r="Z124">
        <v>22.700000762939499</v>
      </c>
      <c r="AA124">
        <v>37.5</v>
      </c>
    </row>
    <row r="125" spans="22:27" x14ac:dyDescent="0.25">
      <c r="V125">
        <v>1</v>
      </c>
      <c r="W125">
        <v>25</v>
      </c>
      <c r="X125">
        <v>200</v>
      </c>
      <c r="Y125">
        <v>27.5</v>
      </c>
      <c r="Z125">
        <v>22.700000762939499</v>
      </c>
      <c r="AA125">
        <v>37.5</v>
      </c>
    </row>
    <row r="126" spans="22:27" x14ac:dyDescent="0.25">
      <c r="V126">
        <v>1</v>
      </c>
      <c r="W126">
        <v>25</v>
      </c>
      <c r="X126">
        <v>200</v>
      </c>
      <c r="Y126">
        <v>26.299999237060501</v>
      </c>
      <c r="Z126">
        <v>21.700000762939499</v>
      </c>
      <c r="AA126">
        <v>37.5</v>
      </c>
    </row>
    <row r="127" spans="22:27" x14ac:dyDescent="0.25">
      <c r="V127">
        <v>1</v>
      </c>
      <c r="W127">
        <v>25</v>
      </c>
      <c r="X127">
        <v>200</v>
      </c>
      <c r="Y127">
        <v>26.299999237060501</v>
      </c>
      <c r="Z127">
        <v>21.700000762939499</v>
      </c>
      <c r="AA127">
        <v>37.5</v>
      </c>
    </row>
    <row r="128" spans="22:27" x14ac:dyDescent="0.25">
      <c r="V128">
        <v>1</v>
      </c>
      <c r="W128">
        <v>30</v>
      </c>
      <c r="X128">
        <v>100</v>
      </c>
      <c r="Y128">
        <v>31.5</v>
      </c>
      <c r="Z128">
        <v>25.799999237060501</v>
      </c>
      <c r="AA128">
        <v>19.399999618530298</v>
      </c>
    </row>
    <row r="129" spans="22:27" x14ac:dyDescent="0.25">
      <c r="V129">
        <v>1</v>
      </c>
      <c r="W129">
        <v>30</v>
      </c>
      <c r="X129">
        <v>100</v>
      </c>
      <c r="Y129">
        <v>33</v>
      </c>
      <c r="Z129">
        <v>27.100000381469702</v>
      </c>
      <c r="AA129">
        <v>19.399999618530298</v>
      </c>
    </row>
    <row r="130" spans="22:27" x14ac:dyDescent="0.25">
      <c r="V130">
        <v>1</v>
      </c>
      <c r="W130">
        <v>30</v>
      </c>
      <c r="X130">
        <v>100</v>
      </c>
      <c r="Y130">
        <v>33</v>
      </c>
      <c r="Z130">
        <v>27.100000381469702</v>
      </c>
      <c r="AA130">
        <v>19.399999618530298</v>
      </c>
    </row>
    <row r="131" spans="22:27" x14ac:dyDescent="0.25">
      <c r="V131">
        <v>1</v>
      </c>
      <c r="W131">
        <v>30</v>
      </c>
      <c r="X131">
        <v>100</v>
      </c>
      <c r="Y131">
        <v>31.5</v>
      </c>
      <c r="Z131">
        <v>25.799999237060501</v>
      </c>
      <c r="AA131">
        <v>19.399999618530298</v>
      </c>
    </row>
    <row r="132" spans="22:27" x14ac:dyDescent="0.25">
      <c r="V132">
        <v>1</v>
      </c>
      <c r="W132">
        <v>30</v>
      </c>
      <c r="X132">
        <v>100</v>
      </c>
      <c r="Y132">
        <v>31.5</v>
      </c>
      <c r="Z132">
        <v>25.799999237060501</v>
      </c>
      <c r="AA132">
        <v>19.399999618530298</v>
      </c>
    </row>
    <row r="133" spans="22:27" x14ac:dyDescent="0.25">
      <c r="V133">
        <v>1</v>
      </c>
      <c r="W133">
        <v>30</v>
      </c>
      <c r="X133">
        <v>115</v>
      </c>
      <c r="Y133">
        <v>31.5</v>
      </c>
      <c r="Z133">
        <v>25.799999237060501</v>
      </c>
      <c r="AA133">
        <v>21</v>
      </c>
    </row>
    <row r="134" spans="22:27" x14ac:dyDescent="0.25">
      <c r="V134">
        <v>1</v>
      </c>
      <c r="W134">
        <v>30</v>
      </c>
      <c r="X134">
        <v>115</v>
      </c>
      <c r="Y134">
        <v>33</v>
      </c>
      <c r="Z134">
        <v>27.100000381469702</v>
      </c>
      <c r="AA134">
        <v>21</v>
      </c>
    </row>
    <row r="135" spans="22:27" x14ac:dyDescent="0.25">
      <c r="V135">
        <v>1</v>
      </c>
      <c r="W135">
        <v>30</v>
      </c>
      <c r="X135">
        <v>115</v>
      </c>
      <c r="Y135">
        <v>33</v>
      </c>
      <c r="Z135">
        <v>27.100000381469702</v>
      </c>
      <c r="AA135">
        <v>21</v>
      </c>
    </row>
    <row r="136" spans="22:27" x14ac:dyDescent="0.25">
      <c r="V136">
        <v>1</v>
      </c>
      <c r="W136">
        <v>30</v>
      </c>
      <c r="X136">
        <v>115</v>
      </c>
      <c r="Y136">
        <v>31.5</v>
      </c>
      <c r="Z136">
        <v>25.799999237060501</v>
      </c>
      <c r="AA136">
        <v>21</v>
      </c>
    </row>
    <row r="137" spans="22:27" x14ac:dyDescent="0.25">
      <c r="V137">
        <v>1</v>
      </c>
      <c r="W137">
        <v>30</v>
      </c>
      <c r="X137">
        <v>115</v>
      </c>
      <c r="Y137">
        <v>31.5</v>
      </c>
      <c r="Z137">
        <v>25.799999237060501</v>
      </c>
      <c r="AA137">
        <v>21</v>
      </c>
    </row>
    <row r="138" spans="22:27" x14ac:dyDescent="0.25">
      <c r="V138">
        <v>1</v>
      </c>
      <c r="W138">
        <v>30</v>
      </c>
      <c r="X138">
        <v>125</v>
      </c>
      <c r="Y138">
        <v>31.5</v>
      </c>
      <c r="Z138">
        <v>25.799999237060501</v>
      </c>
      <c r="AA138">
        <v>22.799999237060501</v>
      </c>
    </row>
    <row r="139" spans="22:27" x14ac:dyDescent="0.25">
      <c r="V139">
        <v>1</v>
      </c>
      <c r="W139">
        <v>30</v>
      </c>
      <c r="X139">
        <v>125</v>
      </c>
      <c r="Y139">
        <v>33</v>
      </c>
      <c r="Z139">
        <v>27.100000381469702</v>
      </c>
      <c r="AA139">
        <v>22.799999237060501</v>
      </c>
    </row>
    <row r="140" spans="22:27" x14ac:dyDescent="0.25">
      <c r="V140">
        <v>1</v>
      </c>
      <c r="W140">
        <v>30</v>
      </c>
      <c r="X140">
        <v>125</v>
      </c>
      <c r="Y140">
        <v>33</v>
      </c>
      <c r="Z140">
        <v>27.100000381469702</v>
      </c>
      <c r="AA140">
        <v>22.799999237060501</v>
      </c>
    </row>
    <row r="141" spans="22:27" x14ac:dyDescent="0.25">
      <c r="V141">
        <v>1</v>
      </c>
      <c r="W141">
        <v>30</v>
      </c>
      <c r="X141">
        <v>125</v>
      </c>
      <c r="Y141">
        <v>31.5</v>
      </c>
      <c r="Z141">
        <v>25.799999237060501</v>
      </c>
      <c r="AA141">
        <v>22.799999237060501</v>
      </c>
    </row>
    <row r="142" spans="22:27" x14ac:dyDescent="0.25">
      <c r="V142">
        <v>1</v>
      </c>
      <c r="W142">
        <v>30</v>
      </c>
      <c r="X142">
        <v>125</v>
      </c>
      <c r="Y142">
        <v>31.5</v>
      </c>
      <c r="Z142">
        <v>25.799999237060501</v>
      </c>
      <c r="AA142">
        <v>22.799999237060501</v>
      </c>
    </row>
    <row r="143" spans="22:27" x14ac:dyDescent="0.25">
      <c r="V143">
        <v>1</v>
      </c>
      <c r="W143">
        <v>30</v>
      </c>
      <c r="X143">
        <v>140</v>
      </c>
      <c r="Y143">
        <v>31.5</v>
      </c>
      <c r="Z143">
        <v>25.799999237060501</v>
      </c>
      <c r="AA143">
        <v>25.299999237060501</v>
      </c>
    </row>
    <row r="144" spans="22:27" x14ac:dyDescent="0.25">
      <c r="V144">
        <v>1</v>
      </c>
      <c r="W144">
        <v>30</v>
      </c>
      <c r="X144">
        <v>140</v>
      </c>
      <c r="Y144">
        <v>33</v>
      </c>
      <c r="Z144">
        <v>27.100000381469702</v>
      </c>
      <c r="AA144">
        <v>25.299999237060501</v>
      </c>
    </row>
    <row r="145" spans="22:27" x14ac:dyDescent="0.25">
      <c r="V145">
        <v>1</v>
      </c>
      <c r="W145">
        <v>30</v>
      </c>
      <c r="X145">
        <v>140</v>
      </c>
      <c r="Y145">
        <v>33</v>
      </c>
      <c r="Z145">
        <v>27.100000381469702</v>
      </c>
      <c r="AA145">
        <v>25.299999237060501</v>
      </c>
    </row>
    <row r="146" spans="22:27" x14ac:dyDescent="0.25">
      <c r="V146">
        <v>1</v>
      </c>
      <c r="W146">
        <v>30</v>
      </c>
      <c r="X146">
        <v>140</v>
      </c>
      <c r="Y146">
        <v>31.5</v>
      </c>
      <c r="Z146">
        <v>25.799999237060501</v>
      </c>
      <c r="AA146">
        <v>25.299999237060501</v>
      </c>
    </row>
    <row r="147" spans="22:27" x14ac:dyDescent="0.25">
      <c r="V147">
        <v>1</v>
      </c>
      <c r="W147">
        <v>30</v>
      </c>
      <c r="X147">
        <v>140</v>
      </c>
      <c r="Y147">
        <v>31.5</v>
      </c>
      <c r="Z147">
        <v>25.799999237060501</v>
      </c>
      <c r="AA147">
        <v>25.299999237060501</v>
      </c>
    </row>
    <row r="148" spans="22:27" x14ac:dyDescent="0.25">
      <c r="V148">
        <v>1</v>
      </c>
      <c r="W148">
        <v>30</v>
      </c>
      <c r="X148">
        <v>150</v>
      </c>
      <c r="Y148">
        <v>31.5</v>
      </c>
      <c r="Z148">
        <v>25.799999237060501</v>
      </c>
      <c r="AA148">
        <v>24.600000381469702</v>
      </c>
    </row>
    <row r="149" spans="22:27" x14ac:dyDescent="0.25">
      <c r="V149">
        <v>1</v>
      </c>
      <c r="W149">
        <v>30</v>
      </c>
      <c r="X149">
        <v>150</v>
      </c>
      <c r="Y149">
        <v>33</v>
      </c>
      <c r="Z149">
        <v>27.100000381469702</v>
      </c>
      <c r="AA149">
        <v>24.600000381469702</v>
      </c>
    </row>
    <row r="150" spans="22:27" x14ac:dyDescent="0.25">
      <c r="V150">
        <v>1</v>
      </c>
      <c r="W150">
        <v>30</v>
      </c>
      <c r="X150">
        <v>150</v>
      </c>
      <c r="Y150">
        <v>33</v>
      </c>
      <c r="Z150">
        <v>27.100000381469702</v>
      </c>
      <c r="AA150">
        <v>24.600000381469702</v>
      </c>
    </row>
    <row r="151" spans="22:27" x14ac:dyDescent="0.25">
      <c r="V151">
        <v>1</v>
      </c>
      <c r="W151">
        <v>30</v>
      </c>
      <c r="X151">
        <v>150</v>
      </c>
      <c r="Y151">
        <v>31.5</v>
      </c>
      <c r="Z151">
        <v>25.799999237060501</v>
      </c>
      <c r="AA151">
        <v>24.600000381469702</v>
      </c>
    </row>
    <row r="152" spans="22:27" x14ac:dyDescent="0.25">
      <c r="V152">
        <v>1</v>
      </c>
      <c r="W152">
        <v>30</v>
      </c>
      <c r="X152">
        <v>150</v>
      </c>
      <c r="Y152">
        <v>31.5</v>
      </c>
      <c r="Z152">
        <v>25.799999237060501</v>
      </c>
      <c r="AA152">
        <v>24.600000381469702</v>
      </c>
    </row>
    <row r="153" spans="22:27" x14ac:dyDescent="0.25">
      <c r="V153">
        <v>1</v>
      </c>
      <c r="W153">
        <v>30</v>
      </c>
      <c r="X153">
        <v>175</v>
      </c>
      <c r="Y153">
        <v>31.5</v>
      </c>
      <c r="Z153">
        <v>25.799999237060501</v>
      </c>
      <c r="AA153">
        <v>27.600000381469702</v>
      </c>
    </row>
    <row r="154" spans="22:27" x14ac:dyDescent="0.25">
      <c r="V154">
        <v>1</v>
      </c>
      <c r="W154">
        <v>30</v>
      </c>
      <c r="X154">
        <v>175</v>
      </c>
      <c r="Y154">
        <v>33</v>
      </c>
      <c r="Z154">
        <v>27.100000381469702</v>
      </c>
      <c r="AA154">
        <v>27.600000381469702</v>
      </c>
    </row>
    <row r="155" spans="22:27" x14ac:dyDescent="0.25">
      <c r="V155">
        <v>1</v>
      </c>
      <c r="W155">
        <v>30</v>
      </c>
      <c r="X155">
        <v>175</v>
      </c>
      <c r="Y155">
        <v>33</v>
      </c>
      <c r="Z155">
        <v>27.100000381469702</v>
      </c>
      <c r="AA155">
        <v>27.600000381469702</v>
      </c>
    </row>
    <row r="156" spans="22:27" x14ac:dyDescent="0.25">
      <c r="V156">
        <v>1</v>
      </c>
      <c r="W156">
        <v>30</v>
      </c>
      <c r="X156">
        <v>175</v>
      </c>
      <c r="Y156">
        <v>31.5</v>
      </c>
      <c r="Z156">
        <v>25.799999237060501</v>
      </c>
      <c r="AA156">
        <v>27.600000381469702</v>
      </c>
    </row>
    <row r="157" spans="22:27" x14ac:dyDescent="0.25">
      <c r="V157">
        <v>1</v>
      </c>
      <c r="W157">
        <v>30</v>
      </c>
      <c r="X157">
        <v>175</v>
      </c>
      <c r="Y157">
        <v>31.5</v>
      </c>
      <c r="Z157">
        <v>25.799999237060501</v>
      </c>
      <c r="AA157">
        <v>27.600000381469702</v>
      </c>
    </row>
    <row r="158" spans="22:27" x14ac:dyDescent="0.25">
      <c r="V158">
        <v>1</v>
      </c>
      <c r="W158">
        <v>30</v>
      </c>
      <c r="X158">
        <v>200</v>
      </c>
      <c r="Y158">
        <v>31.5</v>
      </c>
      <c r="Z158">
        <v>25.799999237060501</v>
      </c>
      <c r="AA158">
        <v>35</v>
      </c>
    </row>
    <row r="159" spans="22:27" x14ac:dyDescent="0.25">
      <c r="V159">
        <v>1</v>
      </c>
      <c r="W159">
        <v>30</v>
      </c>
      <c r="X159">
        <v>200</v>
      </c>
      <c r="Y159">
        <v>33</v>
      </c>
      <c r="Z159">
        <v>27.100000381469702</v>
      </c>
      <c r="AA159">
        <v>35</v>
      </c>
    </row>
    <row r="160" spans="22:27" x14ac:dyDescent="0.25">
      <c r="V160">
        <v>1</v>
      </c>
      <c r="W160">
        <v>30</v>
      </c>
      <c r="X160">
        <v>200</v>
      </c>
      <c r="Y160">
        <v>33</v>
      </c>
      <c r="Z160">
        <v>27.100000381469702</v>
      </c>
      <c r="AA160">
        <v>35</v>
      </c>
    </row>
    <row r="161" spans="22:27" x14ac:dyDescent="0.25">
      <c r="V161">
        <v>1</v>
      </c>
      <c r="W161">
        <v>30</v>
      </c>
      <c r="X161">
        <v>200</v>
      </c>
      <c r="Y161">
        <v>31.5</v>
      </c>
      <c r="Z161">
        <v>25.799999237060501</v>
      </c>
      <c r="AA161">
        <v>35</v>
      </c>
    </row>
    <row r="162" spans="22:27" x14ac:dyDescent="0.25">
      <c r="V162">
        <v>1</v>
      </c>
      <c r="W162">
        <v>30</v>
      </c>
      <c r="X162">
        <v>200</v>
      </c>
      <c r="Y162">
        <v>31.5</v>
      </c>
      <c r="Z162">
        <v>25.799999237060501</v>
      </c>
      <c r="AA162">
        <v>35</v>
      </c>
    </row>
    <row r="163" spans="22:27" x14ac:dyDescent="0.25">
      <c r="V163">
        <v>1</v>
      </c>
      <c r="W163">
        <v>40</v>
      </c>
      <c r="X163">
        <v>100</v>
      </c>
      <c r="Y163">
        <v>42</v>
      </c>
      <c r="Z163">
        <v>34.700000762939503</v>
      </c>
      <c r="AA163">
        <v>19.5</v>
      </c>
    </row>
    <row r="164" spans="22:27" x14ac:dyDescent="0.25">
      <c r="V164">
        <v>1</v>
      </c>
      <c r="W164">
        <v>40</v>
      </c>
      <c r="X164">
        <v>100</v>
      </c>
      <c r="Y164">
        <v>44</v>
      </c>
      <c r="Z164">
        <v>36.400001525878899</v>
      </c>
      <c r="AA164">
        <v>19.5</v>
      </c>
    </row>
    <row r="165" spans="22:27" x14ac:dyDescent="0.25">
      <c r="V165">
        <v>1</v>
      </c>
      <c r="W165">
        <v>40</v>
      </c>
      <c r="X165">
        <v>100</v>
      </c>
      <c r="Y165">
        <v>44</v>
      </c>
      <c r="Z165">
        <v>36.400001525878899</v>
      </c>
      <c r="AA165">
        <v>19.5</v>
      </c>
    </row>
    <row r="166" spans="22:27" x14ac:dyDescent="0.25">
      <c r="V166">
        <v>1</v>
      </c>
      <c r="W166">
        <v>40</v>
      </c>
      <c r="X166">
        <v>100</v>
      </c>
      <c r="Y166">
        <v>42</v>
      </c>
      <c r="Z166">
        <v>34.700000762939503</v>
      </c>
      <c r="AA166">
        <v>19.5</v>
      </c>
    </row>
    <row r="167" spans="22:27" x14ac:dyDescent="0.25">
      <c r="V167">
        <v>1</v>
      </c>
      <c r="W167">
        <v>40</v>
      </c>
      <c r="X167">
        <v>100</v>
      </c>
      <c r="Y167">
        <v>42</v>
      </c>
      <c r="Z167">
        <v>34.700000762939503</v>
      </c>
      <c r="AA167">
        <v>19.5</v>
      </c>
    </row>
    <row r="168" spans="22:27" x14ac:dyDescent="0.25">
      <c r="V168">
        <v>1</v>
      </c>
      <c r="W168">
        <v>40</v>
      </c>
      <c r="X168">
        <v>115</v>
      </c>
      <c r="Y168">
        <v>42</v>
      </c>
      <c r="Z168">
        <v>34.700000762939503</v>
      </c>
      <c r="AA168">
        <v>21</v>
      </c>
    </row>
    <row r="169" spans="22:27" x14ac:dyDescent="0.25">
      <c r="V169">
        <v>1</v>
      </c>
      <c r="W169">
        <v>40</v>
      </c>
      <c r="X169">
        <v>115</v>
      </c>
      <c r="Y169">
        <v>44</v>
      </c>
      <c r="Z169">
        <v>36.400001525878899</v>
      </c>
      <c r="AA169">
        <v>21</v>
      </c>
    </row>
    <row r="170" spans="22:27" x14ac:dyDescent="0.25">
      <c r="V170">
        <v>1</v>
      </c>
      <c r="W170">
        <v>40</v>
      </c>
      <c r="X170">
        <v>115</v>
      </c>
      <c r="Y170">
        <v>44</v>
      </c>
      <c r="Z170">
        <v>36.400001525878899</v>
      </c>
      <c r="AA170">
        <v>21</v>
      </c>
    </row>
    <row r="171" spans="22:27" x14ac:dyDescent="0.25">
      <c r="V171">
        <v>1</v>
      </c>
      <c r="W171">
        <v>40</v>
      </c>
      <c r="X171">
        <v>115</v>
      </c>
      <c r="Y171">
        <v>42</v>
      </c>
      <c r="Z171">
        <v>34.700000762939503</v>
      </c>
      <c r="AA171">
        <v>21</v>
      </c>
    </row>
    <row r="172" spans="22:27" x14ac:dyDescent="0.25">
      <c r="V172">
        <v>1</v>
      </c>
      <c r="W172">
        <v>40</v>
      </c>
      <c r="X172">
        <v>115</v>
      </c>
      <c r="Y172">
        <v>42</v>
      </c>
      <c r="Z172">
        <v>34.700000762939503</v>
      </c>
      <c r="AA172">
        <v>21</v>
      </c>
    </row>
    <row r="173" spans="22:27" x14ac:dyDescent="0.25">
      <c r="V173">
        <v>1</v>
      </c>
      <c r="W173">
        <v>40</v>
      </c>
      <c r="X173">
        <v>125</v>
      </c>
      <c r="Y173">
        <v>42</v>
      </c>
      <c r="Z173">
        <v>34.700000762939503</v>
      </c>
      <c r="AA173">
        <v>23</v>
      </c>
    </row>
    <row r="174" spans="22:27" x14ac:dyDescent="0.25">
      <c r="V174">
        <v>1</v>
      </c>
      <c r="W174">
        <v>40</v>
      </c>
      <c r="X174">
        <v>125</v>
      </c>
      <c r="Y174">
        <v>44</v>
      </c>
      <c r="Z174">
        <v>36.400001525878899</v>
      </c>
      <c r="AA174">
        <v>23</v>
      </c>
    </row>
    <row r="175" spans="22:27" x14ac:dyDescent="0.25">
      <c r="V175">
        <v>1</v>
      </c>
      <c r="W175">
        <v>40</v>
      </c>
      <c r="X175">
        <v>125</v>
      </c>
      <c r="Y175">
        <v>44</v>
      </c>
      <c r="Z175">
        <v>36.400001525878899</v>
      </c>
      <c r="AA175">
        <v>23</v>
      </c>
    </row>
    <row r="176" spans="22:27" x14ac:dyDescent="0.25">
      <c r="V176">
        <v>1</v>
      </c>
      <c r="W176">
        <v>40</v>
      </c>
      <c r="X176">
        <v>125</v>
      </c>
      <c r="Y176">
        <v>42</v>
      </c>
      <c r="Z176">
        <v>34.700000762939503</v>
      </c>
      <c r="AA176">
        <v>23</v>
      </c>
    </row>
    <row r="177" spans="22:27" x14ac:dyDescent="0.25">
      <c r="V177">
        <v>1</v>
      </c>
      <c r="W177">
        <v>40</v>
      </c>
      <c r="X177">
        <v>125</v>
      </c>
      <c r="Y177">
        <v>42</v>
      </c>
      <c r="Z177">
        <v>34.700000762939503</v>
      </c>
      <c r="AA177">
        <v>23</v>
      </c>
    </row>
    <row r="178" spans="22:27" x14ac:dyDescent="0.25">
      <c r="V178">
        <v>1</v>
      </c>
      <c r="W178">
        <v>40</v>
      </c>
      <c r="X178">
        <v>140</v>
      </c>
      <c r="Y178">
        <v>42</v>
      </c>
      <c r="Z178">
        <v>34.700000762939503</v>
      </c>
      <c r="AA178">
        <v>24.100000381469702</v>
      </c>
    </row>
    <row r="179" spans="22:27" x14ac:dyDescent="0.25">
      <c r="V179">
        <v>1</v>
      </c>
      <c r="W179">
        <v>40</v>
      </c>
      <c r="X179">
        <v>140</v>
      </c>
      <c r="Y179">
        <v>44</v>
      </c>
      <c r="Z179">
        <v>36.400001525878899</v>
      </c>
      <c r="AA179">
        <v>24.100000381469702</v>
      </c>
    </row>
    <row r="180" spans="22:27" x14ac:dyDescent="0.25">
      <c r="V180">
        <v>1</v>
      </c>
      <c r="W180">
        <v>40</v>
      </c>
      <c r="X180">
        <v>140</v>
      </c>
      <c r="Y180">
        <v>44</v>
      </c>
      <c r="Z180">
        <v>36.400001525878899</v>
      </c>
      <c r="AA180">
        <v>24.100000381469702</v>
      </c>
    </row>
    <row r="181" spans="22:27" x14ac:dyDescent="0.25">
      <c r="V181">
        <v>1</v>
      </c>
      <c r="W181">
        <v>40</v>
      </c>
      <c r="X181">
        <v>140</v>
      </c>
      <c r="Y181">
        <v>42</v>
      </c>
      <c r="Z181">
        <v>34.700000762939503</v>
      </c>
      <c r="AA181">
        <v>24.100000381469702</v>
      </c>
    </row>
    <row r="182" spans="22:27" x14ac:dyDescent="0.25">
      <c r="V182">
        <v>1</v>
      </c>
      <c r="W182">
        <v>40</v>
      </c>
      <c r="X182">
        <v>140</v>
      </c>
      <c r="Y182">
        <v>42</v>
      </c>
      <c r="Z182">
        <v>34.700000762939503</v>
      </c>
      <c r="AA182">
        <v>24.100000381469702</v>
      </c>
    </row>
    <row r="183" spans="22:27" x14ac:dyDescent="0.25">
      <c r="V183">
        <v>1</v>
      </c>
      <c r="W183">
        <v>40</v>
      </c>
      <c r="X183">
        <v>150</v>
      </c>
      <c r="Y183">
        <v>42</v>
      </c>
      <c r="Z183">
        <v>34.700000762939503</v>
      </c>
      <c r="AA183">
        <v>25.600000381469702</v>
      </c>
    </row>
    <row r="184" spans="22:27" x14ac:dyDescent="0.25">
      <c r="V184">
        <v>1</v>
      </c>
      <c r="W184">
        <v>40</v>
      </c>
      <c r="X184">
        <v>150</v>
      </c>
      <c r="Y184">
        <v>44</v>
      </c>
      <c r="Z184">
        <v>36.400001525878899</v>
      </c>
      <c r="AA184">
        <v>25.600000381469702</v>
      </c>
    </row>
    <row r="185" spans="22:27" x14ac:dyDescent="0.25">
      <c r="V185">
        <v>1</v>
      </c>
      <c r="W185">
        <v>40</v>
      </c>
      <c r="X185">
        <v>150</v>
      </c>
      <c r="Y185">
        <v>44</v>
      </c>
      <c r="Z185">
        <v>36.400001525878899</v>
      </c>
      <c r="AA185">
        <v>25.600000381469702</v>
      </c>
    </row>
    <row r="186" spans="22:27" x14ac:dyDescent="0.25">
      <c r="V186">
        <v>1</v>
      </c>
      <c r="W186">
        <v>40</v>
      </c>
      <c r="X186">
        <v>150</v>
      </c>
      <c r="Y186">
        <v>42</v>
      </c>
      <c r="Z186">
        <v>34.700000762939503</v>
      </c>
      <c r="AA186">
        <v>25.600000381469702</v>
      </c>
    </row>
    <row r="187" spans="22:27" x14ac:dyDescent="0.25">
      <c r="V187">
        <v>1</v>
      </c>
      <c r="W187">
        <v>40</v>
      </c>
      <c r="X187">
        <v>150</v>
      </c>
      <c r="Y187">
        <v>42</v>
      </c>
      <c r="Z187">
        <v>34.700000762939503</v>
      </c>
      <c r="AA187">
        <v>25.600000381469702</v>
      </c>
    </row>
    <row r="188" spans="22:27" x14ac:dyDescent="0.25">
      <c r="V188">
        <v>1</v>
      </c>
      <c r="W188">
        <v>40</v>
      </c>
      <c r="X188">
        <v>175</v>
      </c>
      <c r="Y188">
        <v>42</v>
      </c>
      <c r="Z188">
        <v>34.700000762939503</v>
      </c>
      <c r="AA188">
        <v>28.600000381469702</v>
      </c>
    </row>
    <row r="189" spans="22:27" x14ac:dyDescent="0.25">
      <c r="V189">
        <v>1</v>
      </c>
      <c r="W189">
        <v>40</v>
      </c>
      <c r="X189">
        <v>175</v>
      </c>
      <c r="Y189">
        <v>44</v>
      </c>
      <c r="Z189">
        <v>36.400001525878899</v>
      </c>
      <c r="AA189">
        <v>28.600000381469702</v>
      </c>
    </row>
    <row r="190" spans="22:27" x14ac:dyDescent="0.25">
      <c r="V190">
        <v>1</v>
      </c>
      <c r="W190">
        <v>40</v>
      </c>
      <c r="X190">
        <v>175</v>
      </c>
      <c r="Y190">
        <v>44</v>
      </c>
      <c r="Z190">
        <v>36.400001525878899</v>
      </c>
      <c r="AA190">
        <v>28.600000381469702</v>
      </c>
    </row>
    <row r="191" spans="22:27" x14ac:dyDescent="0.25">
      <c r="V191">
        <v>1</v>
      </c>
      <c r="W191">
        <v>40</v>
      </c>
      <c r="X191">
        <v>175</v>
      </c>
      <c r="Y191">
        <v>42</v>
      </c>
      <c r="Z191">
        <v>34.700000762939503</v>
      </c>
      <c r="AA191">
        <v>28.600000381469702</v>
      </c>
    </row>
    <row r="192" spans="22:27" x14ac:dyDescent="0.25">
      <c r="V192">
        <v>1</v>
      </c>
      <c r="W192">
        <v>40</v>
      </c>
      <c r="X192">
        <v>175</v>
      </c>
      <c r="Y192">
        <v>42</v>
      </c>
      <c r="Z192">
        <v>34.700000762939503</v>
      </c>
      <c r="AA192">
        <v>28.600000381469702</v>
      </c>
    </row>
    <row r="193" spans="22:27" x14ac:dyDescent="0.25">
      <c r="V193">
        <v>1</v>
      </c>
      <c r="W193">
        <v>40</v>
      </c>
      <c r="X193">
        <v>200</v>
      </c>
      <c r="Y193">
        <v>42</v>
      </c>
      <c r="Z193">
        <v>34.700000762939503</v>
      </c>
      <c r="AA193">
        <v>31.399999618530298</v>
      </c>
    </row>
    <row r="194" spans="22:27" x14ac:dyDescent="0.25">
      <c r="V194">
        <v>1</v>
      </c>
      <c r="W194">
        <v>40</v>
      </c>
      <c r="X194">
        <v>200</v>
      </c>
      <c r="Y194">
        <v>44</v>
      </c>
      <c r="Z194">
        <v>36.400001525878899</v>
      </c>
      <c r="AA194">
        <v>31.399999618530298</v>
      </c>
    </row>
    <row r="195" spans="22:27" x14ac:dyDescent="0.25">
      <c r="V195">
        <v>1</v>
      </c>
      <c r="W195">
        <v>40</v>
      </c>
      <c r="X195">
        <v>200</v>
      </c>
      <c r="Y195">
        <v>44</v>
      </c>
      <c r="Z195">
        <v>36.400001525878899</v>
      </c>
      <c r="AA195">
        <v>31.399999618530298</v>
      </c>
    </row>
    <row r="196" spans="22:27" x14ac:dyDescent="0.25">
      <c r="V196">
        <v>1</v>
      </c>
      <c r="W196">
        <v>40</v>
      </c>
      <c r="X196">
        <v>200</v>
      </c>
      <c r="Y196">
        <v>42</v>
      </c>
      <c r="Z196">
        <v>34.700000762939503</v>
      </c>
      <c r="AA196">
        <v>31.399999618530298</v>
      </c>
    </row>
    <row r="197" spans="22:27" x14ac:dyDescent="0.25">
      <c r="V197">
        <v>1</v>
      </c>
      <c r="W197">
        <v>40</v>
      </c>
      <c r="X197">
        <v>200</v>
      </c>
      <c r="Y197">
        <v>42</v>
      </c>
      <c r="Z197">
        <v>34.700000762939503</v>
      </c>
      <c r="AA197">
        <v>31.399999618530298</v>
      </c>
    </row>
    <row r="198" spans="22:27" x14ac:dyDescent="0.25">
      <c r="V198">
        <v>1</v>
      </c>
      <c r="W198">
        <v>50</v>
      </c>
      <c r="X198">
        <v>100</v>
      </c>
      <c r="Y198">
        <v>52.5</v>
      </c>
      <c r="Z198">
        <v>42.700000762939503</v>
      </c>
      <c r="AA198">
        <v>18.899999618530298</v>
      </c>
    </row>
    <row r="199" spans="22:27" x14ac:dyDescent="0.25">
      <c r="V199">
        <v>1</v>
      </c>
      <c r="W199">
        <v>50</v>
      </c>
      <c r="X199">
        <v>100</v>
      </c>
      <c r="Y199">
        <v>55</v>
      </c>
      <c r="Z199">
        <v>44.700000762939503</v>
      </c>
      <c r="AA199">
        <v>18.899999618530298</v>
      </c>
    </row>
    <row r="200" spans="22:27" x14ac:dyDescent="0.25">
      <c r="V200">
        <v>1</v>
      </c>
      <c r="W200">
        <v>50</v>
      </c>
      <c r="X200">
        <v>100</v>
      </c>
      <c r="Y200">
        <v>55</v>
      </c>
      <c r="Z200">
        <v>44.700000762939503</v>
      </c>
      <c r="AA200">
        <v>18.899999618530298</v>
      </c>
    </row>
    <row r="201" spans="22:27" x14ac:dyDescent="0.25">
      <c r="V201">
        <v>1</v>
      </c>
      <c r="W201">
        <v>50</v>
      </c>
      <c r="X201">
        <v>100</v>
      </c>
      <c r="Y201">
        <v>52.5</v>
      </c>
      <c r="Z201">
        <v>42.700000762939503</v>
      </c>
      <c r="AA201">
        <v>18.899999618530298</v>
      </c>
    </row>
    <row r="202" spans="22:27" x14ac:dyDescent="0.25">
      <c r="V202">
        <v>1</v>
      </c>
      <c r="W202">
        <v>50</v>
      </c>
      <c r="X202">
        <v>100</v>
      </c>
      <c r="Y202">
        <v>52.5</v>
      </c>
      <c r="Z202">
        <v>42.700000762939503</v>
      </c>
      <c r="AA202">
        <v>18.899999618530298</v>
      </c>
    </row>
    <row r="203" spans="22:27" x14ac:dyDescent="0.25">
      <c r="V203">
        <v>1</v>
      </c>
      <c r="W203">
        <v>50</v>
      </c>
      <c r="X203">
        <v>110</v>
      </c>
      <c r="Y203">
        <v>52.5</v>
      </c>
      <c r="Z203">
        <v>42.700000762939503</v>
      </c>
      <c r="AA203">
        <v>18.600000381469702</v>
      </c>
    </row>
    <row r="204" spans="22:27" x14ac:dyDescent="0.25">
      <c r="V204">
        <v>1</v>
      </c>
      <c r="W204">
        <v>50</v>
      </c>
      <c r="X204">
        <v>110</v>
      </c>
      <c r="Y204">
        <v>55</v>
      </c>
      <c r="Z204">
        <v>44.700000762939503</v>
      </c>
      <c r="AA204">
        <v>18.600000381469702</v>
      </c>
    </row>
    <row r="205" spans="22:27" x14ac:dyDescent="0.25">
      <c r="V205">
        <v>1</v>
      </c>
      <c r="W205">
        <v>50</v>
      </c>
      <c r="X205">
        <v>110</v>
      </c>
      <c r="Y205">
        <v>55</v>
      </c>
      <c r="Z205">
        <v>44.700000762939503</v>
      </c>
      <c r="AA205">
        <v>18.600000381469702</v>
      </c>
    </row>
    <row r="206" spans="22:27" x14ac:dyDescent="0.25">
      <c r="V206">
        <v>1</v>
      </c>
      <c r="W206">
        <v>50</v>
      </c>
      <c r="X206">
        <v>110</v>
      </c>
      <c r="Y206">
        <v>52.5</v>
      </c>
      <c r="Z206">
        <v>42.700000762939503</v>
      </c>
      <c r="AA206">
        <v>18.600000381469702</v>
      </c>
    </row>
    <row r="207" spans="22:27" x14ac:dyDescent="0.25">
      <c r="V207">
        <v>1</v>
      </c>
      <c r="W207">
        <v>50</v>
      </c>
      <c r="X207">
        <v>110</v>
      </c>
      <c r="Y207">
        <v>52.5</v>
      </c>
      <c r="Z207">
        <v>42.700000762939503</v>
      </c>
      <c r="AA207">
        <v>18.600000381469702</v>
      </c>
    </row>
    <row r="208" spans="22:27" x14ac:dyDescent="0.25">
      <c r="V208">
        <v>1</v>
      </c>
      <c r="W208">
        <v>50</v>
      </c>
      <c r="X208">
        <v>115</v>
      </c>
      <c r="Y208">
        <v>52.5</v>
      </c>
      <c r="Z208">
        <v>42.700000762939503</v>
      </c>
      <c r="AA208">
        <v>20.799999237060501</v>
      </c>
    </row>
    <row r="209" spans="22:34" x14ac:dyDescent="0.25">
      <c r="V209">
        <v>1</v>
      </c>
      <c r="W209">
        <v>50</v>
      </c>
      <c r="X209">
        <v>115</v>
      </c>
      <c r="Y209">
        <v>55</v>
      </c>
      <c r="Z209">
        <v>44.700000762939503</v>
      </c>
      <c r="AA209">
        <v>20.799999237060501</v>
      </c>
    </row>
    <row r="210" spans="22:34" x14ac:dyDescent="0.25">
      <c r="V210">
        <v>1</v>
      </c>
      <c r="W210">
        <v>50</v>
      </c>
      <c r="X210">
        <v>115</v>
      </c>
      <c r="Y210">
        <v>55</v>
      </c>
      <c r="Z210">
        <v>44.700000762939503</v>
      </c>
      <c r="AA210">
        <v>20.799999237060501</v>
      </c>
      <c r="AC210">
        <v>1</v>
      </c>
      <c r="AD210">
        <v>50</v>
      </c>
      <c r="AE210">
        <v>20.799999237060501</v>
      </c>
      <c r="AF210">
        <v>115</v>
      </c>
      <c r="AG210">
        <v>52.5</v>
      </c>
      <c r="AH210">
        <v>42.700000762939503</v>
      </c>
    </row>
    <row r="211" spans="22:34" x14ac:dyDescent="0.25">
      <c r="V211">
        <v>1</v>
      </c>
      <c r="W211">
        <v>50</v>
      </c>
      <c r="X211">
        <v>115</v>
      </c>
      <c r="Y211">
        <v>52.5</v>
      </c>
      <c r="Z211">
        <v>42.700000762939503</v>
      </c>
      <c r="AA211">
        <v>20.799999237060501</v>
      </c>
      <c r="AC211">
        <v>1</v>
      </c>
      <c r="AD211">
        <v>50</v>
      </c>
      <c r="AE211">
        <v>20.799999237060501</v>
      </c>
      <c r="AF211">
        <v>115</v>
      </c>
      <c r="AG211">
        <v>55</v>
      </c>
      <c r="AH211">
        <v>44.700000762939503</v>
      </c>
    </row>
    <row r="212" spans="22:34" x14ac:dyDescent="0.25">
      <c r="V212">
        <v>1</v>
      </c>
      <c r="W212">
        <v>50</v>
      </c>
      <c r="X212">
        <v>115</v>
      </c>
      <c r="Y212">
        <v>52.5</v>
      </c>
      <c r="Z212">
        <v>42.700000762939503</v>
      </c>
      <c r="AA212">
        <v>20.799999237060501</v>
      </c>
      <c r="AC212">
        <v>1</v>
      </c>
      <c r="AD212">
        <v>50</v>
      </c>
      <c r="AE212">
        <v>20.799999237060501</v>
      </c>
      <c r="AF212">
        <v>115</v>
      </c>
      <c r="AG212">
        <v>55</v>
      </c>
      <c r="AH212">
        <v>44.700000762939503</v>
      </c>
    </row>
    <row r="213" spans="22:34" x14ac:dyDescent="0.25">
      <c r="V213">
        <v>1</v>
      </c>
      <c r="W213">
        <v>50</v>
      </c>
      <c r="X213">
        <v>125</v>
      </c>
      <c r="Y213">
        <v>52.5</v>
      </c>
      <c r="Z213">
        <v>42.700000762939503</v>
      </c>
      <c r="AA213">
        <v>21.600000381469702</v>
      </c>
      <c r="AC213">
        <v>1</v>
      </c>
      <c r="AD213">
        <v>50</v>
      </c>
      <c r="AE213">
        <v>20.799999237060501</v>
      </c>
      <c r="AF213">
        <v>115</v>
      </c>
      <c r="AG213">
        <v>52.5</v>
      </c>
      <c r="AH213">
        <v>42.700000762939503</v>
      </c>
    </row>
    <row r="214" spans="22:34" x14ac:dyDescent="0.25">
      <c r="V214">
        <v>1</v>
      </c>
      <c r="W214">
        <v>50</v>
      </c>
      <c r="X214">
        <v>125</v>
      </c>
      <c r="Y214">
        <v>55</v>
      </c>
      <c r="Z214">
        <v>44.700000762939503</v>
      </c>
      <c r="AA214">
        <v>21.600000381469702</v>
      </c>
      <c r="AC214">
        <v>1</v>
      </c>
      <c r="AD214">
        <v>50</v>
      </c>
      <c r="AE214">
        <v>20.799999237060501</v>
      </c>
      <c r="AF214">
        <v>115</v>
      </c>
      <c r="AG214">
        <v>52.5</v>
      </c>
      <c r="AH214">
        <v>42.700000762939503</v>
      </c>
    </row>
    <row r="215" spans="22:34" x14ac:dyDescent="0.25">
      <c r="V215">
        <v>1</v>
      </c>
      <c r="W215">
        <v>50</v>
      </c>
      <c r="X215">
        <v>125</v>
      </c>
      <c r="Y215">
        <v>55</v>
      </c>
      <c r="Z215">
        <v>44.700000762939503</v>
      </c>
      <c r="AA215">
        <v>21.600000381469702</v>
      </c>
    </row>
    <row r="216" spans="22:34" x14ac:dyDescent="0.25">
      <c r="V216">
        <v>1</v>
      </c>
      <c r="W216">
        <v>50</v>
      </c>
      <c r="X216">
        <v>125</v>
      </c>
      <c r="Y216">
        <v>52.5</v>
      </c>
      <c r="Z216">
        <v>42.700000762939503</v>
      </c>
      <c r="AA216">
        <v>21.600000381469702</v>
      </c>
    </row>
    <row r="217" spans="22:34" x14ac:dyDescent="0.25">
      <c r="V217">
        <v>1</v>
      </c>
      <c r="W217">
        <v>50</v>
      </c>
      <c r="X217">
        <v>125</v>
      </c>
      <c r="Y217">
        <v>52.5</v>
      </c>
      <c r="Z217">
        <v>42.700000762939503</v>
      </c>
      <c r="AA217">
        <v>21.600000381469702</v>
      </c>
    </row>
    <row r="218" spans="22:34" x14ac:dyDescent="0.25">
      <c r="V218">
        <v>1</v>
      </c>
      <c r="W218">
        <v>50</v>
      </c>
      <c r="X218">
        <v>140</v>
      </c>
      <c r="Y218">
        <v>52.5</v>
      </c>
      <c r="Z218">
        <v>42.700000762939503</v>
      </c>
      <c r="AA218">
        <v>23.5</v>
      </c>
    </row>
    <row r="219" spans="22:34" x14ac:dyDescent="0.25">
      <c r="V219">
        <v>1</v>
      </c>
      <c r="W219">
        <v>50</v>
      </c>
      <c r="X219">
        <v>140</v>
      </c>
      <c r="Y219">
        <v>55</v>
      </c>
      <c r="Z219">
        <v>44.700000762939503</v>
      </c>
      <c r="AA219">
        <v>23.5</v>
      </c>
    </row>
    <row r="220" spans="22:34" x14ac:dyDescent="0.25">
      <c r="V220">
        <v>1</v>
      </c>
      <c r="W220">
        <v>50</v>
      </c>
      <c r="X220">
        <v>140</v>
      </c>
      <c r="Y220">
        <v>55</v>
      </c>
      <c r="Z220">
        <v>44.700000762939503</v>
      </c>
      <c r="AA220">
        <v>23.5</v>
      </c>
    </row>
    <row r="221" spans="22:34" x14ac:dyDescent="0.25">
      <c r="V221">
        <v>1</v>
      </c>
      <c r="W221">
        <v>50</v>
      </c>
      <c r="X221">
        <v>140</v>
      </c>
      <c r="Y221">
        <v>52.5</v>
      </c>
      <c r="Z221">
        <v>42.700000762939503</v>
      </c>
      <c r="AA221">
        <v>23.5</v>
      </c>
    </row>
    <row r="222" spans="22:34" x14ac:dyDescent="0.25">
      <c r="V222">
        <v>1</v>
      </c>
      <c r="W222">
        <v>50</v>
      </c>
      <c r="X222">
        <v>140</v>
      </c>
      <c r="Y222">
        <v>52.5</v>
      </c>
      <c r="Z222">
        <v>42.700000762939503</v>
      </c>
      <c r="AA222">
        <v>23.5</v>
      </c>
    </row>
    <row r="223" spans="22:34" x14ac:dyDescent="0.25">
      <c r="V223">
        <v>1</v>
      </c>
      <c r="W223">
        <v>50</v>
      </c>
      <c r="X223">
        <v>150</v>
      </c>
      <c r="Y223">
        <v>52.5</v>
      </c>
      <c r="Z223">
        <v>42.700000762939503</v>
      </c>
      <c r="AA223">
        <v>24.100000381469702</v>
      </c>
    </row>
    <row r="224" spans="22:34" x14ac:dyDescent="0.25">
      <c r="V224">
        <v>1</v>
      </c>
      <c r="W224">
        <v>50</v>
      </c>
      <c r="X224">
        <v>150</v>
      </c>
      <c r="Y224">
        <v>55</v>
      </c>
      <c r="Z224">
        <v>44.700000762939503</v>
      </c>
      <c r="AA224">
        <v>24.100000381469702</v>
      </c>
    </row>
    <row r="225" spans="22:27" x14ac:dyDescent="0.25">
      <c r="V225">
        <v>1</v>
      </c>
      <c r="W225">
        <v>50</v>
      </c>
      <c r="X225">
        <v>150</v>
      </c>
      <c r="Y225">
        <v>55</v>
      </c>
      <c r="Z225">
        <v>44.700000762939503</v>
      </c>
      <c r="AA225">
        <v>24.100000381469702</v>
      </c>
    </row>
    <row r="226" spans="22:27" x14ac:dyDescent="0.25">
      <c r="V226">
        <v>1</v>
      </c>
      <c r="W226">
        <v>50</v>
      </c>
      <c r="X226">
        <v>150</v>
      </c>
      <c r="Y226">
        <v>52.5</v>
      </c>
      <c r="Z226">
        <v>42.700000762939503</v>
      </c>
      <c r="AA226">
        <v>24.100000381469702</v>
      </c>
    </row>
    <row r="227" spans="22:27" x14ac:dyDescent="0.25">
      <c r="V227">
        <v>1</v>
      </c>
      <c r="W227">
        <v>50</v>
      </c>
      <c r="X227">
        <v>150</v>
      </c>
      <c r="Y227">
        <v>52.5</v>
      </c>
      <c r="Z227">
        <v>42.700000762939503</v>
      </c>
      <c r="AA227">
        <v>24.100000381469702</v>
      </c>
    </row>
    <row r="228" spans="22:27" x14ac:dyDescent="0.25">
      <c r="V228">
        <v>1</v>
      </c>
      <c r="W228">
        <v>50</v>
      </c>
      <c r="X228">
        <v>175</v>
      </c>
      <c r="Y228">
        <v>52.5</v>
      </c>
      <c r="Z228">
        <v>42.700000762939503</v>
      </c>
      <c r="AA228">
        <v>27</v>
      </c>
    </row>
    <row r="229" spans="22:27" x14ac:dyDescent="0.25">
      <c r="V229">
        <v>1</v>
      </c>
      <c r="W229">
        <v>50</v>
      </c>
      <c r="X229">
        <v>175</v>
      </c>
      <c r="Y229">
        <v>55</v>
      </c>
      <c r="Z229">
        <v>44.700000762939503</v>
      </c>
      <c r="AA229">
        <v>27</v>
      </c>
    </row>
    <row r="230" spans="22:27" x14ac:dyDescent="0.25">
      <c r="V230">
        <v>1</v>
      </c>
      <c r="W230">
        <v>50</v>
      </c>
      <c r="X230">
        <v>175</v>
      </c>
      <c r="Y230">
        <v>55</v>
      </c>
      <c r="Z230">
        <v>44.700000762939503</v>
      </c>
      <c r="AA230">
        <v>27</v>
      </c>
    </row>
    <row r="231" spans="22:27" x14ac:dyDescent="0.25">
      <c r="V231">
        <v>1</v>
      </c>
      <c r="W231">
        <v>50</v>
      </c>
      <c r="X231">
        <v>175</v>
      </c>
      <c r="Y231">
        <v>52.5</v>
      </c>
      <c r="Z231">
        <v>42.700000762939503</v>
      </c>
      <c r="AA231">
        <v>27</v>
      </c>
    </row>
    <row r="232" spans="22:27" x14ac:dyDescent="0.25">
      <c r="V232">
        <v>1</v>
      </c>
      <c r="W232">
        <v>50</v>
      </c>
      <c r="X232">
        <v>175</v>
      </c>
      <c r="Y232">
        <v>52.5</v>
      </c>
      <c r="Z232">
        <v>42.700000762939503</v>
      </c>
      <c r="AA232">
        <v>27</v>
      </c>
    </row>
    <row r="233" spans="22:27" x14ac:dyDescent="0.25">
      <c r="V233">
        <v>1</v>
      </c>
      <c r="W233">
        <v>50</v>
      </c>
      <c r="X233">
        <v>200</v>
      </c>
      <c r="Y233">
        <v>52.5</v>
      </c>
      <c r="Z233">
        <v>42.700000762939503</v>
      </c>
      <c r="AA233">
        <v>33.400001525878899</v>
      </c>
    </row>
    <row r="234" spans="22:27" x14ac:dyDescent="0.25">
      <c r="V234">
        <v>1</v>
      </c>
      <c r="W234">
        <v>50</v>
      </c>
      <c r="X234">
        <v>200</v>
      </c>
      <c r="Y234">
        <v>55</v>
      </c>
      <c r="Z234">
        <v>44.700000762939503</v>
      </c>
      <c r="AA234">
        <v>33.400001525878899</v>
      </c>
    </row>
    <row r="235" spans="22:27" x14ac:dyDescent="0.25">
      <c r="V235">
        <v>1</v>
      </c>
      <c r="W235">
        <v>50</v>
      </c>
      <c r="X235">
        <v>200</v>
      </c>
      <c r="Y235">
        <v>55</v>
      </c>
      <c r="Z235">
        <v>44.700000762939503</v>
      </c>
      <c r="AA235">
        <v>33.400001525878899</v>
      </c>
    </row>
    <row r="236" spans="22:27" x14ac:dyDescent="0.25">
      <c r="V236">
        <v>1</v>
      </c>
      <c r="W236">
        <v>50</v>
      </c>
      <c r="X236">
        <v>200</v>
      </c>
      <c r="Y236">
        <v>52.5</v>
      </c>
      <c r="Z236">
        <v>42.700000762939503</v>
      </c>
      <c r="AA236">
        <v>33.400001525878899</v>
      </c>
    </row>
    <row r="237" spans="22:27" x14ac:dyDescent="0.25">
      <c r="V237">
        <v>1</v>
      </c>
      <c r="W237">
        <v>50</v>
      </c>
      <c r="X237">
        <v>200</v>
      </c>
      <c r="Y237">
        <v>52.5</v>
      </c>
      <c r="Z237">
        <v>42.700000762939503</v>
      </c>
      <c r="AA237">
        <v>33.400001525878899</v>
      </c>
    </row>
    <row r="238" spans="22:27" x14ac:dyDescent="0.25">
      <c r="V238">
        <v>1</v>
      </c>
      <c r="W238">
        <v>60</v>
      </c>
      <c r="X238">
        <v>100</v>
      </c>
      <c r="Y238">
        <v>63</v>
      </c>
      <c r="Z238">
        <v>51.299999237060497</v>
      </c>
      <c r="AA238">
        <v>18.799999237060501</v>
      </c>
    </row>
    <row r="239" spans="22:27" x14ac:dyDescent="0.25">
      <c r="V239">
        <v>1</v>
      </c>
      <c r="W239">
        <v>60</v>
      </c>
      <c r="X239">
        <v>100</v>
      </c>
      <c r="Y239">
        <v>66</v>
      </c>
      <c r="Z239">
        <v>53.700000762939503</v>
      </c>
      <c r="AA239">
        <v>18.799999237060501</v>
      </c>
    </row>
    <row r="240" spans="22:27" x14ac:dyDescent="0.25">
      <c r="V240">
        <v>1</v>
      </c>
      <c r="W240">
        <v>60</v>
      </c>
      <c r="X240">
        <v>100</v>
      </c>
      <c r="Y240">
        <v>66</v>
      </c>
      <c r="Z240">
        <v>53.700000762939503</v>
      </c>
      <c r="AA240">
        <v>18.799999237060501</v>
      </c>
    </row>
    <row r="241" spans="22:34" x14ac:dyDescent="0.25">
      <c r="V241">
        <v>1</v>
      </c>
      <c r="W241">
        <v>60</v>
      </c>
      <c r="X241">
        <v>100</v>
      </c>
      <c r="Y241">
        <v>63</v>
      </c>
      <c r="Z241">
        <v>51.299999237060497</v>
      </c>
      <c r="AA241">
        <v>18.799999237060501</v>
      </c>
    </row>
    <row r="242" spans="22:34" x14ac:dyDescent="0.25">
      <c r="V242">
        <v>1</v>
      </c>
      <c r="W242">
        <v>60</v>
      </c>
      <c r="X242">
        <v>100</v>
      </c>
      <c r="Y242">
        <v>63</v>
      </c>
      <c r="Z242">
        <v>51.299999237060497</v>
      </c>
      <c r="AA242">
        <v>18.799999237060501</v>
      </c>
    </row>
    <row r="243" spans="22:34" x14ac:dyDescent="0.25">
      <c r="V243">
        <v>1</v>
      </c>
      <c r="W243">
        <v>60</v>
      </c>
      <c r="X243">
        <v>115</v>
      </c>
      <c r="Y243">
        <v>63</v>
      </c>
      <c r="Z243">
        <v>51.299999237060497</v>
      </c>
      <c r="AA243">
        <v>19.399999618530298</v>
      </c>
    </row>
    <row r="244" spans="22:34" x14ac:dyDescent="0.25">
      <c r="V244">
        <v>1</v>
      </c>
      <c r="W244">
        <v>60</v>
      </c>
      <c r="X244">
        <v>115</v>
      </c>
      <c r="Y244">
        <v>66</v>
      </c>
      <c r="Z244">
        <v>53.700000762939503</v>
      </c>
      <c r="AA244">
        <v>19.399999618530298</v>
      </c>
    </row>
    <row r="245" spans="22:34" x14ac:dyDescent="0.25">
      <c r="V245">
        <v>1</v>
      </c>
      <c r="W245">
        <v>60</v>
      </c>
      <c r="X245">
        <v>115</v>
      </c>
      <c r="Y245">
        <v>66</v>
      </c>
      <c r="Z245">
        <v>53.700000762939503</v>
      </c>
      <c r="AA245">
        <v>19.399999618530298</v>
      </c>
      <c r="AC245">
        <v>1</v>
      </c>
      <c r="AD245">
        <v>60</v>
      </c>
      <c r="AE245">
        <v>19.399999618530298</v>
      </c>
      <c r="AF245">
        <v>115</v>
      </c>
      <c r="AG245">
        <v>63</v>
      </c>
      <c r="AH245">
        <v>51.299999237060497</v>
      </c>
    </row>
    <row r="246" spans="22:34" x14ac:dyDescent="0.25">
      <c r="V246">
        <v>1</v>
      </c>
      <c r="W246">
        <v>60</v>
      </c>
      <c r="X246">
        <v>115</v>
      </c>
      <c r="Y246">
        <v>63</v>
      </c>
      <c r="Z246">
        <v>51.299999237060497</v>
      </c>
      <c r="AA246">
        <v>19.399999618530298</v>
      </c>
      <c r="AC246">
        <v>1</v>
      </c>
      <c r="AD246">
        <v>60</v>
      </c>
      <c r="AE246">
        <v>19.399999618530298</v>
      </c>
      <c r="AF246">
        <v>115</v>
      </c>
      <c r="AG246">
        <v>66</v>
      </c>
      <c r="AH246">
        <v>53.700000762939503</v>
      </c>
    </row>
    <row r="247" spans="22:34" x14ac:dyDescent="0.25">
      <c r="V247">
        <v>1</v>
      </c>
      <c r="W247">
        <v>60</v>
      </c>
      <c r="X247">
        <v>115</v>
      </c>
      <c r="Y247">
        <v>63</v>
      </c>
      <c r="Z247">
        <v>51.299999237060497</v>
      </c>
      <c r="AA247">
        <v>19.399999618530298</v>
      </c>
      <c r="AC247">
        <v>1</v>
      </c>
      <c r="AD247">
        <v>60</v>
      </c>
      <c r="AE247">
        <v>19.399999618530298</v>
      </c>
      <c r="AF247">
        <v>115</v>
      </c>
      <c r="AG247">
        <v>66</v>
      </c>
      <c r="AH247">
        <v>53.700000762939503</v>
      </c>
    </row>
    <row r="248" spans="22:34" x14ac:dyDescent="0.25">
      <c r="V248">
        <v>1</v>
      </c>
      <c r="W248">
        <v>60</v>
      </c>
      <c r="X248">
        <v>125</v>
      </c>
      <c r="Y248">
        <v>63</v>
      </c>
      <c r="Z248">
        <v>51.299999237060497</v>
      </c>
      <c r="AA248">
        <v>20.5</v>
      </c>
      <c r="AC248">
        <v>1</v>
      </c>
      <c r="AD248">
        <v>60</v>
      </c>
      <c r="AE248">
        <v>19.399999618530298</v>
      </c>
      <c r="AF248">
        <v>115</v>
      </c>
      <c r="AG248">
        <v>63</v>
      </c>
      <c r="AH248">
        <v>51.299999237060497</v>
      </c>
    </row>
    <row r="249" spans="22:34" x14ac:dyDescent="0.25">
      <c r="V249">
        <v>1</v>
      </c>
      <c r="W249">
        <v>60</v>
      </c>
      <c r="X249">
        <v>125</v>
      </c>
      <c r="Y249">
        <v>66</v>
      </c>
      <c r="Z249">
        <v>53.700000762939503</v>
      </c>
      <c r="AA249">
        <v>20.5</v>
      </c>
      <c r="AC249">
        <v>1</v>
      </c>
      <c r="AD249">
        <v>60</v>
      </c>
      <c r="AE249">
        <v>19.399999618530298</v>
      </c>
      <c r="AF249">
        <v>115</v>
      </c>
      <c r="AG249">
        <v>63</v>
      </c>
      <c r="AH249">
        <v>51.299999237060497</v>
      </c>
    </row>
    <row r="250" spans="22:34" x14ac:dyDescent="0.25">
      <c r="V250">
        <v>1</v>
      </c>
      <c r="W250">
        <v>60</v>
      </c>
      <c r="X250">
        <v>125</v>
      </c>
      <c r="Y250">
        <v>66</v>
      </c>
      <c r="Z250">
        <v>53.700000762939503</v>
      </c>
      <c r="AA250">
        <v>20.5</v>
      </c>
    </row>
    <row r="251" spans="22:34" x14ac:dyDescent="0.25">
      <c r="V251">
        <v>1</v>
      </c>
      <c r="W251">
        <v>60</v>
      </c>
      <c r="X251">
        <v>125</v>
      </c>
      <c r="Y251">
        <v>63</v>
      </c>
      <c r="Z251">
        <v>51.299999237060497</v>
      </c>
      <c r="AA251">
        <v>20.5</v>
      </c>
    </row>
    <row r="252" spans="22:34" x14ac:dyDescent="0.25">
      <c r="V252">
        <v>1</v>
      </c>
      <c r="W252">
        <v>60</v>
      </c>
      <c r="X252">
        <v>125</v>
      </c>
      <c r="Y252">
        <v>63</v>
      </c>
      <c r="Z252">
        <v>51.299999237060497</v>
      </c>
      <c r="AA252">
        <v>20.5</v>
      </c>
    </row>
    <row r="253" spans="22:34" x14ac:dyDescent="0.25">
      <c r="V253">
        <v>1</v>
      </c>
      <c r="W253">
        <v>60</v>
      </c>
      <c r="X253">
        <v>140</v>
      </c>
      <c r="Y253">
        <v>63</v>
      </c>
      <c r="Z253">
        <v>51.299999237060497</v>
      </c>
      <c r="AA253">
        <v>22.100000381469702</v>
      </c>
    </row>
    <row r="254" spans="22:34" x14ac:dyDescent="0.25">
      <c r="V254">
        <v>1</v>
      </c>
      <c r="W254">
        <v>60</v>
      </c>
      <c r="X254">
        <v>140</v>
      </c>
      <c r="Y254">
        <v>66</v>
      </c>
      <c r="Z254">
        <v>53.700000762939503</v>
      </c>
      <c r="AA254">
        <v>22.100000381469702</v>
      </c>
    </row>
    <row r="255" spans="22:34" x14ac:dyDescent="0.25">
      <c r="V255">
        <v>1</v>
      </c>
      <c r="W255">
        <v>60</v>
      </c>
      <c r="X255">
        <v>140</v>
      </c>
      <c r="Y255">
        <v>66</v>
      </c>
      <c r="Z255">
        <v>53.700000762939503</v>
      </c>
      <c r="AA255">
        <v>22.100000381469702</v>
      </c>
    </row>
    <row r="256" spans="22:34" x14ac:dyDescent="0.25">
      <c r="V256">
        <v>1</v>
      </c>
      <c r="W256">
        <v>60</v>
      </c>
      <c r="X256">
        <v>140</v>
      </c>
      <c r="Y256">
        <v>63</v>
      </c>
      <c r="Z256">
        <v>51.299999237060497</v>
      </c>
      <c r="AA256">
        <v>22.100000381469702</v>
      </c>
    </row>
    <row r="257" spans="22:27" x14ac:dyDescent="0.25">
      <c r="V257">
        <v>1</v>
      </c>
      <c r="W257">
        <v>60</v>
      </c>
      <c r="X257">
        <v>140</v>
      </c>
      <c r="Y257">
        <v>63</v>
      </c>
      <c r="Z257">
        <v>51.299999237060497</v>
      </c>
      <c r="AA257">
        <v>22.100000381469702</v>
      </c>
    </row>
    <row r="258" spans="22:27" x14ac:dyDescent="0.25">
      <c r="V258">
        <v>1</v>
      </c>
      <c r="W258">
        <v>60</v>
      </c>
      <c r="X258">
        <v>150</v>
      </c>
      <c r="Y258">
        <v>63</v>
      </c>
      <c r="Z258">
        <v>51.299999237060497</v>
      </c>
      <c r="AA258">
        <v>22.600000381469702</v>
      </c>
    </row>
    <row r="259" spans="22:27" x14ac:dyDescent="0.25">
      <c r="V259">
        <v>1</v>
      </c>
      <c r="W259">
        <v>60</v>
      </c>
      <c r="X259">
        <v>150</v>
      </c>
      <c r="Y259">
        <v>66</v>
      </c>
      <c r="Z259">
        <v>53.700000762939503</v>
      </c>
      <c r="AA259">
        <v>22.600000381469702</v>
      </c>
    </row>
    <row r="260" spans="22:27" x14ac:dyDescent="0.25">
      <c r="V260">
        <v>1</v>
      </c>
      <c r="W260">
        <v>60</v>
      </c>
      <c r="X260">
        <v>150</v>
      </c>
      <c r="Y260">
        <v>66</v>
      </c>
      <c r="Z260">
        <v>53.700000762939503</v>
      </c>
      <c r="AA260">
        <v>22.600000381469702</v>
      </c>
    </row>
    <row r="261" spans="22:27" x14ac:dyDescent="0.25">
      <c r="V261">
        <v>1</v>
      </c>
      <c r="W261">
        <v>60</v>
      </c>
      <c r="X261">
        <v>150</v>
      </c>
      <c r="Y261">
        <v>63</v>
      </c>
      <c r="Z261">
        <v>51.299999237060497</v>
      </c>
      <c r="AA261">
        <v>22.600000381469702</v>
      </c>
    </row>
    <row r="262" spans="22:27" x14ac:dyDescent="0.25">
      <c r="V262">
        <v>1</v>
      </c>
      <c r="W262">
        <v>60</v>
      </c>
      <c r="X262">
        <v>150</v>
      </c>
      <c r="Y262">
        <v>63</v>
      </c>
      <c r="Z262">
        <v>51.299999237060497</v>
      </c>
      <c r="AA262">
        <v>22.600000381469702</v>
      </c>
    </row>
    <row r="263" spans="22:27" x14ac:dyDescent="0.25">
      <c r="V263">
        <v>1</v>
      </c>
      <c r="W263">
        <v>60</v>
      </c>
      <c r="X263">
        <v>175</v>
      </c>
      <c r="Y263">
        <v>63</v>
      </c>
      <c r="Z263">
        <v>51.299999237060497</v>
      </c>
      <c r="AA263">
        <v>26.700000762939499</v>
      </c>
    </row>
    <row r="264" spans="22:27" x14ac:dyDescent="0.25">
      <c r="V264">
        <v>1</v>
      </c>
      <c r="W264">
        <v>60</v>
      </c>
      <c r="X264">
        <v>175</v>
      </c>
      <c r="Y264">
        <v>66</v>
      </c>
      <c r="Z264">
        <v>53.700000762939503</v>
      </c>
      <c r="AA264">
        <v>26.700000762939499</v>
      </c>
    </row>
    <row r="265" spans="22:27" x14ac:dyDescent="0.25">
      <c r="V265">
        <v>1</v>
      </c>
      <c r="W265">
        <v>60</v>
      </c>
      <c r="X265">
        <v>175</v>
      </c>
      <c r="Y265">
        <v>66</v>
      </c>
      <c r="Z265">
        <v>53.700000762939503</v>
      </c>
      <c r="AA265">
        <v>26.700000762939499</v>
      </c>
    </row>
    <row r="266" spans="22:27" x14ac:dyDescent="0.25">
      <c r="V266">
        <v>1</v>
      </c>
      <c r="W266">
        <v>60</v>
      </c>
      <c r="X266">
        <v>175</v>
      </c>
      <c r="Y266">
        <v>63</v>
      </c>
      <c r="Z266">
        <v>51.299999237060497</v>
      </c>
      <c r="AA266">
        <v>26.700000762939499</v>
      </c>
    </row>
    <row r="267" spans="22:27" x14ac:dyDescent="0.25">
      <c r="V267">
        <v>1</v>
      </c>
      <c r="W267">
        <v>60</v>
      </c>
      <c r="X267">
        <v>175</v>
      </c>
      <c r="Y267">
        <v>63</v>
      </c>
      <c r="Z267">
        <v>51.299999237060497</v>
      </c>
      <c r="AA267">
        <v>26.700000762939499</v>
      </c>
    </row>
    <row r="268" spans="22:27" x14ac:dyDescent="0.25">
      <c r="V268">
        <v>1</v>
      </c>
      <c r="W268">
        <v>75</v>
      </c>
      <c r="X268">
        <v>100</v>
      </c>
      <c r="Y268">
        <v>78.800003051757798</v>
      </c>
      <c r="Z268">
        <v>64.099998474121094</v>
      </c>
      <c r="AA268">
        <v>17.5</v>
      </c>
    </row>
    <row r="269" spans="22:27" x14ac:dyDescent="0.25">
      <c r="V269">
        <v>1</v>
      </c>
      <c r="W269">
        <v>75</v>
      </c>
      <c r="X269">
        <v>100</v>
      </c>
      <c r="Y269">
        <v>82.5</v>
      </c>
      <c r="Z269">
        <v>67.099998474121094</v>
      </c>
      <c r="AA269">
        <v>17.5</v>
      </c>
    </row>
    <row r="270" spans="22:27" x14ac:dyDescent="0.25">
      <c r="V270">
        <v>1</v>
      </c>
      <c r="W270">
        <v>75</v>
      </c>
      <c r="X270">
        <v>100</v>
      </c>
      <c r="Y270">
        <v>82.5</v>
      </c>
      <c r="Z270">
        <v>67.099998474121094</v>
      </c>
      <c r="AA270">
        <v>17.5</v>
      </c>
    </row>
    <row r="271" spans="22:27" x14ac:dyDescent="0.25">
      <c r="V271">
        <v>1</v>
      </c>
      <c r="W271">
        <v>75</v>
      </c>
      <c r="X271">
        <v>100</v>
      </c>
      <c r="Y271">
        <v>78.800003051757798</v>
      </c>
      <c r="Z271">
        <v>64.099998474121094</v>
      </c>
      <c r="AA271">
        <v>17.5</v>
      </c>
    </row>
    <row r="272" spans="22:27" x14ac:dyDescent="0.25">
      <c r="V272">
        <v>1</v>
      </c>
      <c r="W272">
        <v>75</v>
      </c>
      <c r="X272">
        <v>100</v>
      </c>
      <c r="Y272">
        <v>78.800003051757798</v>
      </c>
      <c r="Z272">
        <v>64.099998474121094</v>
      </c>
      <c r="AA272">
        <v>17.5</v>
      </c>
    </row>
    <row r="273" spans="22:34" x14ac:dyDescent="0.25">
      <c r="V273">
        <v>1</v>
      </c>
      <c r="W273">
        <v>75</v>
      </c>
      <c r="X273">
        <v>110</v>
      </c>
      <c r="Y273">
        <v>78.800003051757798</v>
      </c>
      <c r="Z273">
        <v>64.099998474121094</v>
      </c>
      <c r="AA273">
        <v>18</v>
      </c>
    </row>
    <row r="274" spans="22:34" x14ac:dyDescent="0.25">
      <c r="V274">
        <v>1</v>
      </c>
      <c r="W274">
        <v>75</v>
      </c>
      <c r="X274">
        <v>110</v>
      </c>
      <c r="Y274">
        <v>82.5</v>
      </c>
      <c r="Z274">
        <v>67.099998474121094</v>
      </c>
      <c r="AA274">
        <v>18</v>
      </c>
    </row>
    <row r="275" spans="22:34" x14ac:dyDescent="0.25">
      <c r="V275">
        <v>1</v>
      </c>
      <c r="W275">
        <v>75</v>
      </c>
      <c r="X275">
        <v>110</v>
      </c>
      <c r="Y275">
        <v>82.5</v>
      </c>
      <c r="Z275">
        <v>67.099998474121094</v>
      </c>
      <c r="AA275">
        <v>18</v>
      </c>
    </row>
    <row r="276" spans="22:34" x14ac:dyDescent="0.25">
      <c r="V276">
        <v>1</v>
      </c>
      <c r="W276">
        <v>75</v>
      </c>
      <c r="X276">
        <v>110</v>
      </c>
      <c r="Y276">
        <v>78.800003051757798</v>
      </c>
      <c r="Z276">
        <v>64.099998474121094</v>
      </c>
      <c r="AA276">
        <v>18</v>
      </c>
    </row>
    <row r="277" spans="22:34" x14ac:dyDescent="0.25">
      <c r="V277">
        <v>1</v>
      </c>
      <c r="W277">
        <v>75</v>
      </c>
      <c r="X277">
        <v>110</v>
      </c>
      <c r="Y277">
        <v>78.800003051757798</v>
      </c>
      <c r="Z277">
        <v>64.099998474121094</v>
      </c>
      <c r="AA277">
        <v>18</v>
      </c>
    </row>
    <row r="278" spans="22:34" x14ac:dyDescent="0.25">
      <c r="V278">
        <v>1</v>
      </c>
      <c r="W278">
        <v>75</v>
      </c>
      <c r="X278">
        <v>115</v>
      </c>
      <c r="Y278">
        <v>78.800003051757798</v>
      </c>
      <c r="Z278">
        <v>64.099998474121094</v>
      </c>
      <c r="AA278">
        <v>19.399999618530298</v>
      </c>
    </row>
    <row r="279" spans="22:34" x14ac:dyDescent="0.25">
      <c r="V279">
        <v>1</v>
      </c>
      <c r="W279">
        <v>75</v>
      </c>
      <c r="X279">
        <v>115</v>
      </c>
      <c r="Y279">
        <v>82.5</v>
      </c>
      <c r="Z279">
        <v>67.099998474121094</v>
      </c>
      <c r="AA279">
        <v>19.399999618530298</v>
      </c>
    </row>
    <row r="280" spans="22:34" x14ac:dyDescent="0.25">
      <c r="V280">
        <v>1</v>
      </c>
      <c r="W280">
        <v>75</v>
      </c>
      <c r="X280">
        <v>115</v>
      </c>
      <c r="Y280">
        <v>82.5</v>
      </c>
      <c r="Z280">
        <v>67.099998474121094</v>
      </c>
      <c r="AA280">
        <v>19.399999618530298</v>
      </c>
      <c r="AC280">
        <v>1</v>
      </c>
      <c r="AD280">
        <v>75</v>
      </c>
      <c r="AE280">
        <v>19.399999618530298</v>
      </c>
      <c r="AF280">
        <v>115</v>
      </c>
      <c r="AG280">
        <v>78.800003051757798</v>
      </c>
      <c r="AH280">
        <v>64.099998474121094</v>
      </c>
    </row>
    <row r="281" spans="22:34" x14ac:dyDescent="0.25">
      <c r="V281">
        <v>1</v>
      </c>
      <c r="W281">
        <v>75</v>
      </c>
      <c r="X281">
        <v>115</v>
      </c>
      <c r="Y281">
        <v>78.800003051757798</v>
      </c>
      <c r="Z281">
        <v>64.099998474121094</v>
      </c>
      <c r="AA281">
        <v>19.399999618530298</v>
      </c>
      <c r="AC281">
        <v>1</v>
      </c>
      <c r="AD281">
        <v>75</v>
      </c>
      <c r="AE281">
        <v>19.399999618530298</v>
      </c>
      <c r="AF281">
        <v>115</v>
      </c>
      <c r="AG281">
        <v>82.5</v>
      </c>
      <c r="AH281">
        <v>67.099998474121094</v>
      </c>
    </row>
    <row r="282" spans="22:34" x14ac:dyDescent="0.25">
      <c r="V282">
        <v>1</v>
      </c>
      <c r="W282">
        <v>75</v>
      </c>
      <c r="X282">
        <v>115</v>
      </c>
      <c r="Y282">
        <v>78.800003051757798</v>
      </c>
      <c r="Z282">
        <v>64.099998474121094</v>
      </c>
      <c r="AA282">
        <v>19.399999618530298</v>
      </c>
      <c r="AC282">
        <v>1</v>
      </c>
      <c r="AD282">
        <v>75</v>
      </c>
      <c r="AE282">
        <v>19.399999618530298</v>
      </c>
      <c r="AF282">
        <v>115</v>
      </c>
      <c r="AG282">
        <v>82.5</v>
      </c>
      <c r="AH282">
        <v>67.099998474121094</v>
      </c>
    </row>
    <row r="283" spans="22:34" x14ac:dyDescent="0.25">
      <c r="V283">
        <v>1</v>
      </c>
      <c r="W283">
        <v>75</v>
      </c>
      <c r="X283">
        <v>125</v>
      </c>
      <c r="Y283">
        <v>78.800003051757798</v>
      </c>
      <c r="Z283">
        <v>64.099998474121094</v>
      </c>
      <c r="AA283">
        <v>20.600000381469702</v>
      </c>
      <c r="AC283">
        <v>1</v>
      </c>
      <c r="AD283">
        <v>75</v>
      </c>
      <c r="AE283">
        <v>19.399999618530298</v>
      </c>
      <c r="AF283">
        <v>115</v>
      </c>
      <c r="AG283">
        <v>78.800003051757798</v>
      </c>
      <c r="AH283">
        <v>64.099998474121094</v>
      </c>
    </row>
    <row r="284" spans="22:34" x14ac:dyDescent="0.25">
      <c r="V284">
        <v>1</v>
      </c>
      <c r="W284">
        <v>75</v>
      </c>
      <c r="X284">
        <v>125</v>
      </c>
      <c r="Y284">
        <v>82.5</v>
      </c>
      <c r="Z284">
        <v>67.099998474121094</v>
      </c>
      <c r="AA284">
        <v>20.600000381469702</v>
      </c>
      <c r="AC284">
        <v>1</v>
      </c>
      <c r="AD284">
        <v>75</v>
      </c>
      <c r="AE284">
        <v>19.399999618530298</v>
      </c>
      <c r="AF284">
        <v>115</v>
      </c>
      <c r="AG284">
        <v>78.800003051757798</v>
      </c>
      <c r="AH284">
        <v>64.099998474121094</v>
      </c>
    </row>
    <row r="285" spans="22:34" x14ac:dyDescent="0.25">
      <c r="V285">
        <v>1</v>
      </c>
      <c r="W285">
        <v>75</v>
      </c>
      <c r="X285">
        <v>125</v>
      </c>
      <c r="Y285">
        <v>82.5</v>
      </c>
      <c r="Z285">
        <v>67.099998474121094</v>
      </c>
      <c r="AA285">
        <v>20.600000381469702</v>
      </c>
      <c r="AC285">
        <v>1</v>
      </c>
      <c r="AD285">
        <v>100</v>
      </c>
      <c r="AE285">
        <v>19.600000381469702</v>
      </c>
      <c r="AF285">
        <v>115</v>
      </c>
      <c r="AG285">
        <v>105</v>
      </c>
      <c r="AH285">
        <v>85.400001525878906</v>
      </c>
    </row>
    <row r="286" spans="22:34" x14ac:dyDescent="0.25">
      <c r="V286">
        <v>1</v>
      </c>
      <c r="W286">
        <v>75</v>
      </c>
      <c r="X286">
        <v>125</v>
      </c>
      <c r="Y286">
        <v>78.800003051757798</v>
      </c>
      <c r="Z286">
        <v>64.099998474121094</v>
      </c>
      <c r="AA286">
        <v>20.600000381469702</v>
      </c>
    </row>
    <row r="287" spans="22:34" x14ac:dyDescent="0.25">
      <c r="V287">
        <v>1</v>
      </c>
      <c r="W287">
        <v>75</v>
      </c>
      <c r="X287">
        <v>125</v>
      </c>
      <c r="Y287">
        <v>78.800003051757798</v>
      </c>
      <c r="Z287">
        <v>64.099998474121094</v>
      </c>
      <c r="AA287">
        <v>20.600000381469702</v>
      </c>
    </row>
    <row r="288" spans="22:34" x14ac:dyDescent="0.25">
      <c r="V288">
        <v>1</v>
      </c>
      <c r="W288">
        <v>75</v>
      </c>
      <c r="X288">
        <v>140</v>
      </c>
      <c r="Y288">
        <v>78.800003051757798</v>
      </c>
      <c r="Z288">
        <v>64.099998474121094</v>
      </c>
      <c r="AA288">
        <v>22.200000762939499</v>
      </c>
    </row>
    <row r="289" spans="22:27" x14ac:dyDescent="0.25">
      <c r="V289">
        <v>1</v>
      </c>
      <c r="W289">
        <v>75</v>
      </c>
      <c r="X289">
        <v>140</v>
      </c>
      <c r="Y289">
        <v>82.5</v>
      </c>
      <c r="Z289">
        <v>67.099998474121094</v>
      </c>
      <c r="AA289">
        <v>22.200000762939499</v>
      </c>
    </row>
    <row r="290" spans="22:27" x14ac:dyDescent="0.25">
      <c r="V290">
        <v>1</v>
      </c>
      <c r="W290">
        <v>75</v>
      </c>
      <c r="X290">
        <v>140</v>
      </c>
      <c r="Y290">
        <v>82.5</v>
      </c>
      <c r="Z290">
        <v>67.099998474121094</v>
      </c>
      <c r="AA290">
        <v>22.200000762939499</v>
      </c>
    </row>
    <row r="291" spans="22:27" x14ac:dyDescent="0.25">
      <c r="V291">
        <v>1</v>
      </c>
      <c r="W291">
        <v>75</v>
      </c>
      <c r="X291">
        <v>140</v>
      </c>
      <c r="Y291">
        <v>78.800003051757798</v>
      </c>
      <c r="Z291">
        <v>64.099998474121094</v>
      </c>
      <c r="AA291">
        <v>22.200000762939499</v>
      </c>
    </row>
    <row r="292" spans="22:27" x14ac:dyDescent="0.25">
      <c r="V292">
        <v>1</v>
      </c>
      <c r="W292">
        <v>75</v>
      </c>
      <c r="X292">
        <v>140</v>
      </c>
      <c r="Y292">
        <v>78.800003051757798</v>
      </c>
      <c r="Z292">
        <v>64.099998474121094</v>
      </c>
      <c r="AA292">
        <v>22.200000762939499</v>
      </c>
    </row>
    <row r="293" spans="22:27" x14ac:dyDescent="0.25">
      <c r="V293">
        <v>1</v>
      </c>
      <c r="W293">
        <v>75</v>
      </c>
      <c r="X293">
        <v>150</v>
      </c>
      <c r="Y293">
        <v>78.800003051757798</v>
      </c>
      <c r="Z293">
        <v>64.099998474121094</v>
      </c>
      <c r="AA293">
        <v>23.399999618530298</v>
      </c>
    </row>
    <row r="294" spans="22:27" x14ac:dyDescent="0.25">
      <c r="V294">
        <v>1</v>
      </c>
      <c r="W294">
        <v>75</v>
      </c>
      <c r="X294">
        <v>150</v>
      </c>
      <c r="Y294">
        <v>82.5</v>
      </c>
      <c r="Z294">
        <v>67.099998474121094</v>
      </c>
      <c r="AA294">
        <v>23.399999618530298</v>
      </c>
    </row>
    <row r="295" spans="22:27" x14ac:dyDescent="0.25">
      <c r="V295">
        <v>1</v>
      </c>
      <c r="W295">
        <v>75</v>
      </c>
      <c r="X295">
        <v>150</v>
      </c>
      <c r="Y295">
        <v>82.5</v>
      </c>
      <c r="Z295">
        <v>67.099998474121094</v>
      </c>
      <c r="AA295">
        <v>23.399999618530298</v>
      </c>
    </row>
    <row r="296" spans="22:27" x14ac:dyDescent="0.25">
      <c r="V296">
        <v>1</v>
      </c>
      <c r="W296">
        <v>75</v>
      </c>
      <c r="X296">
        <v>150</v>
      </c>
      <c r="Y296">
        <v>78.800003051757798</v>
      </c>
      <c r="Z296">
        <v>64.099998474121094</v>
      </c>
      <c r="AA296">
        <v>23.399999618530298</v>
      </c>
    </row>
    <row r="297" spans="22:27" x14ac:dyDescent="0.25">
      <c r="V297">
        <v>1</v>
      </c>
      <c r="W297">
        <v>75</v>
      </c>
      <c r="X297">
        <v>150</v>
      </c>
      <c r="Y297">
        <v>78.800003051757798</v>
      </c>
      <c r="Z297">
        <v>64.099998474121094</v>
      </c>
      <c r="AA297">
        <v>23.399999618530298</v>
      </c>
    </row>
    <row r="298" spans="22:27" x14ac:dyDescent="0.25">
      <c r="V298">
        <v>1</v>
      </c>
      <c r="W298">
        <v>75</v>
      </c>
      <c r="X298">
        <v>165</v>
      </c>
      <c r="Y298">
        <v>78.800003051757798</v>
      </c>
      <c r="Z298">
        <v>64.099998474121094</v>
      </c>
      <c r="AA298">
        <v>28</v>
      </c>
    </row>
    <row r="299" spans="22:27" x14ac:dyDescent="0.25">
      <c r="V299">
        <v>1</v>
      </c>
      <c r="W299">
        <v>75</v>
      </c>
      <c r="X299">
        <v>165</v>
      </c>
      <c r="Y299">
        <v>82.5</v>
      </c>
      <c r="Z299">
        <v>67.099998474121094</v>
      </c>
      <c r="AA299">
        <v>28</v>
      </c>
    </row>
    <row r="300" spans="22:27" x14ac:dyDescent="0.25">
      <c r="V300">
        <v>1</v>
      </c>
      <c r="W300">
        <v>75</v>
      </c>
      <c r="X300">
        <v>165</v>
      </c>
      <c r="Y300">
        <v>82.5</v>
      </c>
      <c r="Z300">
        <v>67.099998474121094</v>
      </c>
      <c r="AA300">
        <v>28</v>
      </c>
    </row>
    <row r="301" spans="22:27" x14ac:dyDescent="0.25">
      <c r="V301">
        <v>1</v>
      </c>
      <c r="W301">
        <v>75</v>
      </c>
      <c r="X301">
        <v>165</v>
      </c>
      <c r="Y301">
        <v>78.800003051757798</v>
      </c>
      <c r="Z301">
        <v>64.099998474121094</v>
      </c>
      <c r="AA301">
        <v>28</v>
      </c>
    </row>
    <row r="302" spans="22:27" x14ac:dyDescent="0.25">
      <c r="V302">
        <v>1</v>
      </c>
      <c r="W302">
        <v>75</v>
      </c>
      <c r="X302">
        <v>165</v>
      </c>
      <c r="Y302">
        <v>78.800003051757798</v>
      </c>
      <c r="Z302">
        <v>64.099998474121094</v>
      </c>
      <c r="AA302">
        <v>28</v>
      </c>
    </row>
    <row r="303" spans="22:27" x14ac:dyDescent="0.25">
      <c r="V303">
        <v>1</v>
      </c>
      <c r="W303">
        <v>75</v>
      </c>
      <c r="X303">
        <v>175</v>
      </c>
      <c r="Y303">
        <v>78.800003051757798</v>
      </c>
      <c r="Z303">
        <v>64.099998474121094</v>
      </c>
      <c r="AA303">
        <v>25.399999618530298</v>
      </c>
    </row>
    <row r="304" spans="22:27" x14ac:dyDescent="0.25">
      <c r="V304">
        <v>1</v>
      </c>
      <c r="W304">
        <v>75</v>
      </c>
      <c r="X304">
        <v>175</v>
      </c>
      <c r="Y304">
        <v>82.5</v>
      </c>
      <c r="Z304">
        <v>67.099998474121094</v>
      </c>
      <c r="AA304">
        <v>25.399999618530298</v>
      </c>
    </row>
    <row r="305" spans="22:34" x14ac:dyDescent="0.25">
      <c r="V305">
        <v>1</v>
      </c>
      <c r="W305">
        <v>75</v>
      </c>
      <c r="X305">
        <v>175</v>
      </c>
      <c r="Y305">
        <v>82.5</v>
      </c>
      <c r="Z305">
        <v>67.099998474121094</v>
      </c>
      <c r="AA305">
        <v>25.399999618530298</v>
      </c>
    </row>
    <row r="306" spans="22:34" x14ac:dyDescent="0.25">
      <c r="V306">
        <v>1</v>
      </c>
      <c r="W306">
        <v>75</v>
      </c>
      <c r="X306">
        <v>175</v>
      </c>
      <c r="Y306">
        <v>78.800003051757798</v>
      </c>
      <c r="Z306">
        <v>64.099998474121094</v>
      </c>
      <c r="AA306">
        <v>25.399999618530298</v>
      </c>
    </row>
    <row r="307" spans="22:34" x14ac:dyDescent="0.25">
      <c r="V307">
        <v>1</v>
      </c>
      <c r="W307">
        <v>75</v>
      </c>
      <c r="X307">
        <v>175</v>
      </c>
      <c r="Y307">
        <v>78.800003051757798</v>
      </c>
      <c r="Z307">
        <v>64.099998474121094</v>
      </c>
      <c r="AA307">
        <v>25.399999618530298</v>
      </c>
    </row>
    <row r="308" spans="22:34" x14ac:dyDescent="0.25">
      <c r="V308">
        <v>1</v>
      </c>
      <c r="W308">
        <v>100</v>
      </c>
      <c r="X308">
        <v>100</v>
      </c>
      <c r="Y308">
        <v>105</v>
      </c>
      <c r="Z308">
        <v>85.400001525878906</v>
      </c>
      <c r="AA308">
        <v>18.100000381469702</v>
      </c>
    </row>
    <row r="309" spans="22:34" x14ac:dyDescent="0.25">
      <c r="V309">
        <v>1</v>
      </c>
      <c r="W309">
        <v>100</v>
      </c>
      <c r="X309">
        <v>100</v>
      </c>
      <c r="Y309">
        <v>110</v>
      </c>
      <c r="Z309">
        <v>89.5</v>
      </c>
      <c r="AA309">
        <v>18.100000381469702</v>
      </c>
    </row>
    <row r="310" spans="22:34" x14ac:dyDescent="0.25">
      <c r="V310">
        <v>1</v>
      </c>
      <c r="W310">
        <v>100</v>
      </c>
      <c r="X310">
        <v>100</v>
      </c>
      <c r="Y310">
        <v>110</v>
      </c>
      <c r="Z310">
        <v>89.5</v>
      </c>
      <c r="AA310">
        <v>18.100000381469702</v>
      </c>
    </row>
    <row r="311" spans="22:34" x14ac:dyDescent="0.25">
      <c r="V311">
        <v>1</v>
      </c>
      <c r="W311">
        <v>100</v>
      </c>
      <c r="X311">
        <v>100</v>
      </c>
      <c r="Y311">
        <v>105</v>
      </c>
      <c r="Z311">
        <v>85.400001525878906</v>
      </c>
      <c r="AA311">
        <v>18.100000381469702</v>
      </c>
    </row>
    <row r="312" spans="22:34" x14ac:dyDescent="0.25">
      <c r="V312">
        <v>1</v>
      </c>
      <c r="W312">
        <v>100</v>
      </c>
      <c r="X312">
        <v>100</v>
      </c>
      <c r="Y312">
        <v>105</v>
      </c>
      <c r="Z312">
        <v>85.400001525878906</v>
      </c>
      <c r="AA312">
        <v>18.100000381469702</v>
      </c>
    </row>
    <row r="313" spans="22:34" x14ac:dyDescent="0.25">
      <c r="V313">
        <v>1</v>
      </c>
      <c r="W313">
        <v>100</v>
      </c>
      <c r="X313">
        <v>110</v>
      </c>
      <c r="Y313">
        <v>105</v>
      </c>
      <c r="Z313">
        <v>85.400001525878906</v>
      </c>
      <c r="AA313">
        <v>18.299999237060501</v>
      </c>
    </row>
    <row r="314" spans="22:34" x14ac:dyDescent="0.25">
      <c r="V314">
        <v>1</v>
      </c>
      <c r="W314">
        <v>100</v>
      </c>
      <c r="X314">
        <v>110</v>
      </c>
      <c r="Y314">
        <v>110</v>
      </c>
      <c r="Z314">
        <v>89.5</v>
      </c>
      <c r="AA314">
        <v>18.299999237060501</v>
      </c>
    </row>
    <row r="315" spans="22:34" x14ac:dyDescent="0.25">
      <c r="V315">
        <v>1</v>
      </c>
      <c r="W315">
        <v>100</v>
      </c>
      <c r="X315">
        <v>110</v>
      </c>
      <c r="Y315">
        <v>110</v>
      </c>
      <c r="Z315">
        <v>89.5</v>
      </c>
      <c r="AA315">
        <v>18.299999237060501</v>
      </c>
    </row>
    <row r="316" spans="22:34" x14ac:dyDescent="0.25">
      <c r="V316">
        <v>1</v>
      </c>
      <c r="W316">
        <v>100</v>
      </c>
      <c r="X316">
        <v>110</v>
      </c>
      <c r="Y316">
        <v>105</v>
      </c>
      <c r="Z316">
        <v>85.400001525878906</v>
      </c>
      <c r="AA316">
        <v>18.299999237060501</v>
      </c>
    </row>
    <row r="317" spans="22:34" x14ac:dyDescent="0.25">
      <c r="V317">
        <v>1</v>
      </c>
      <c r="W317">
        <v>100</v>
      </c>
      <c r="X317">
        <v>110</v>
      </c>
      <c r="Y317">
        <v>105</v>
      </c>
      <c r="Z317">
        <v>85.400001525878906</v>
      </c>
      <c r="AA317">
        <v>18.299999237060501</v>
      </c>
    </row>
    <row r="318" spans="22:34" x14ac:dyDescent="0.25">
      <c r="V318">
        <v>1</v>
      </c>
      <c r="W318">
        <v>100</v>
      </c>
      <c r="X318">
        <v>115</v>
      </c>
      <c r="Y318">
        <v>105</v>
      </c>
      <c r="Z318">
        <v>85.400001525878906</v>
      </c>
      <c r="AA318">
        <v>19.600000381469702</v>
      </c>
    </row>
    <row r="319" spans="22:34" x14ac:dyDescent="0.25">
      <c r="V319">
        <v>1</v>
      </c>
      <c r="W319">
        <v>100</v>
      </c>
      <c r="X319">
        <v>115</v>
      </c>
      <c r="Y319">
        <v>110</v>
      </c>
      <c r="Z319">
        <v>89.5</v>
      </c>
      <c r="AA319">
        <v>19.600000381469702</v>
      </c>
    </row>
    <row r="320" spans="22:34" x14ac:dyDescent="0.25">
      <c r="V320">
        <v>1</v>
      </c>
      <c r="W320">
        <v>100</v>
      </c>
      <c r="X320">
        <v>115</v>
      </c>
      <c r="Y320">
        <v>110</v>
      </c>
      <c r="Z320">
        <v>89.5</v>
      </c>
      <c r="AA320">
        <v>19.600000381469702</v>
      </c>
      <c r="AC320">
        <v>1</v>
      </c>
      <c r="AD320">
        <v>100</v>
      </c>
      <c r="AE320">
        <v>19.600000381469702</v>
      </c>
      <c r="AF320">
        <v>115</v>
      </c>
      <c r="AG320">
        <v>105</v>
      </c>
      <c r="AH320">
        <v>85.400001525878906</v>
      </c>
    </row>
    <row r="321" spans="22:34" x14ac:dyDescent="0.25">
      <c r="V321">
        <v>1</v>
      </c>
      <c r="W321">
        <v>100</v>
      </c>
      <c r="X321">
        <v>115</v>
      </c>
      <c r="Y321">
        <v>105</v>
      </c>
      <c r="Z321">
        <v>85.400001525878906</v>
      </c>
      <c r="AA321">
        <v>19.600000381469702</v>
      </c>
      <c r="AC321">
        <v>1</v>
      </c>
      <c r="AD321">
        <v>100</v>
      </c>
      <c r="AE321">
        <v>19.600000381469702</v>
      </c>
      <c r="AF321">
        <v>115</v>
      </c>
      <c r="AG321">
        <v>110</v>
      </c>
      <c r="AH321">
        <v>89.5</v>
      </c>
    </row>
    <row r="322" spans="22:34" x14ac:dyDescent="0.25">
      <c r="V322">
        <v>1</v>
      </c>
      <c r="W322">
        <v>100</v>
      </c>
      <c r="X322">
        <v>115</v>
      </c>
      <c r="Y322">
        <v>105</v>
      </c>
      <c r="Z322">
        <v>85.400001525878906</v>
      </c>
      <c r="AA322">
        <v>19.600000381469702</v>
      </c>
      <c r="AC322">
        <v>1</v>
      </c>
      <c r="AD322">
        <v>100</v>
      </c>
      <c r="AE322">
        <v>19.600000381469702</v>
      </c>
      <c r="AF322">
        <v>115</v>
      </c>
      <c r="AG322">
        <v>110</v>
      </c>
      <c r="AH322">
        <v>89.5</v>
      </c>
    </row>
    <row r="323" spans="22:34" x14ac:dyDescent="0.25">
      <c r="V323">
        <v>1</v>
      </c>
      <c r="W323">
        <v>100</v>
      </c>
      <c r="X323">
        <v>125</v>
      </c>
      <c r="Y323">
        <v>105</v>
      </c>
      <c r="Z323">
        <v>85.400001525878906</v>
      </c>
      <c r="AA323">
        <v>20.5</v>
      </c>
      <c r="AC323">
        <v>1</v>
      </c>
      <c r="AD323">
        <v>100</v>
      </c>
      <c r="AE323">
        <v>19.600000381469702</v>
      </c>
      <c r="AF323">
        <v>115</v>
      </c>
      <c r="AG323">
        <v>105</v>
      </c>
      <c r="AH323">
        <v>85.400001525878906</v>
      </c>
    </row>
    <row r="324" spans="22:34" x14ac:dyDescent="0.25">
      <c r="V324">
        <v>1</v>
      </c>
      <c r="W324">
        <v>100</v>
      </c>
      <c r="X324">
        <v>125</v>
      </c>
      <c r="Y324">
        <v>110</v>
      </c>
      <c r="Z324">
        <v>89.5</v>
      </c>
      <c r="AA324">
        <v>20.5</v>
      </c>
      <c r="AC324">
        <v>1</v>
      </c>
      <c r="AD324">
        <v>100</v>
      </c>
      <c r="AE324">
        <v>19.600000381469702</v>
      </c>
      <c r="AF324">
        <v>115</v>
      </c>
      <c r="AG324">
        <v>105</v>
      </c>
      <c r="AH324">
        <v>85.400001525878906</v>
      </c>
    </row>
    <row r="325" spans="22:34" x14ac:dyDescent="0.25">
      <c r="V325">
        <v>1</v>
      </c>
      <c r="W325">
        <v>100</v>
      </c>
      <c r="X325">
        <v>125</v>
      </c>
      <c r="Y325">
        <v>110</v>
      </c>
      <c r="Z325">
        <v>89.5</v>
      </c>
      <c r="AA325">
        <v>20.5</v>
      </c>
    </row>
    <row r="326" spans="22:34" x14ac:dyDescent="0.25">
      <c r="V326">
        <v>1</v>
      </c>
      <c r="W326">
        <v>100</v>
      </c>
      <c r="X326">
        <v>125</v>
      </c>
      <c r="Y326">
        <v>105</v>
      </c>
      <c r="Z326">
        <v>85.400001525878906</v>
      </c>
      <c r="AA326">
        <v>20.5</v>
      </c>
    </row>
    <row r="327" spans="22:34" x14ac:dyDescent="0.25">
      <c r="V327">
        <v>1</v>
      </c>
      <c r="W327">
        <v>100</v>
      </c>
      <c r="X327">
        <v>125</v>
      </c>
      <c r="Y327">
        <v>105</v>
      </c>
      <c r="Z327">
        <v>85.400001525878906</v>
      </c>
      <c r="AA327">
        <v>20.5</v>
      </c>
    </row>
    <row r="328" spans="22:34" x14ac:dyDescent="0.25">
      <c r="V328">
        <v>1</v>
      </c>
      <c r="W328">
        <v>100</v>
      </c>
      <c r="X328">
        <v>140</v>
      </c>
      <c r="Y328">
        <v>105</v>
      </c>
      <c r="Z328">
        <v>85.400001525878906</v>
      </c>
      <c r="AA328">
        <v>21.100000381469702</v>
      </c>
    </row>
    <row r="329" spans="22:34" x14ac:dyDescent="0.25">
      <c r="V329">
        <v>1</v>
      </c>
      <c r="W329">
        <v>100</v>
      </c>
      <c r="X329">
        <v>140</v>
      </c>
      <c r="Y329">
        <v>110</v>
      </c>
      <c r="Z329">
        <v>89.5</v>
      </c>
      <c r="AA329">
        <v>21.100000381469702</v>
      </c>
    </row>
    <row r="330" spans="22:34" x14ac:dyDescent="0.25">
      <c r="V330">
        <v>1</v>
      </c>
      <c r="W330">
        <v>100</v>
      </c>
      <c r="X330">
        <v>140</v>
      </c>
      <c r="Y330">
        <v>110</v>
      </c>
      <c r="Z330">
        <v>89.5</v>
      </c>
      <c r="AA330">
        <v>21.100000381469702</v>
      </c>
    </row>
    <row r="331" spans="22:34" x14ac:dyDescent="0.25">
      <c r="V331">
        <v>1</v>
      </c>
      <c r="W331">
        <v>100</v>
      </c>
      <c r="X331">
        <v>140</v>
      </c>
      <c r="Y331">
        <v>105</v>
      </c>
      <c r="Z331">
        <v>85.400001525878906</v>
      </c>
      <c r="AA331">
        <v>21.100000381469702</v>
      </c>
    </row>
    <row r="332" spans="22:34" x14ac:dyDescent="0.25">
      <c r="V332">
        <v>1</v>
      </c>
      <c r="W332">
        <v>100</v>
      </c>
      <c r="X332">
        <v>140</v>
      </c>
      <c r="Y332">
        <v>105</v>
      </c>
      <c r="Z332">
        <v>85.400001525878906</v>
      </c>
      <c r="AA332">
        <v>21.100000381469702</v>
      </c>
    </row>
    <row r="333" spans="22:34" x14ac:dyDescent="0.25">
      <c r="V333">
        <v>1</v>
      </c>
      <c r="W333">
        <v>100</v>
      </c>
      <c r="X333">
        <v>150</v>
      </c>
      <c r="Y333">
        <v>105</v>
      </c>
      <c r="Z333">
        <v>85.400001525878906</v>
      </c>
      <c r="AA333">
        <v>23.700000762939499</v>
      </c>
    </row>
    <row r="334" spans="22:34" x14ac:dyDescent="0.25">
      <c r="V334">
        <v>1</v>
      </c>
      <c r="W334">
        <v>100</v>
      </c>
      <c r="X334">
        <v>150</v>
      </c>
      <c r="Y334">
        <v>110</v>
      </c>
      <c r="Z334">
        <v>89.5</v>
      </c>
      <c r="AA334">
        <v>23.700000762939499</v>
      </c>
    </row>
    <row r="335" spans="22:34" x14ac:dyDescent="0.25">
      <c r="V335">
        <v>1</v>
      </c>
      <c r="W335">
        <v>100</v>
      </c>
      <c r="X335">
        <v>150</v>
      </c>
      <c r="Y335">
        <v>110</v>
      </c>
      <c r="Z335">
        <v>89.5</v>
      </c>
      <c r="AA335">
        <v>23.700000762939499</v>
      </c>
    </row>
    <row r="336" spans="22:34" x14ac:dyDescent="0.25">
      <c r="V336">
        <v>1</v>
      </c>
      <c r="W336">
        <v>100</v>
      </c>
      <c r="X336">
        <v>150</v>
      </c>
      <c r="Y336">
        <v>105</v>
      </c>
      <c r="Z336">
        <v>85.400001525878906</v>
      </c>
      <c r="AA336">
        <v>23.700000762939499</v>
      </c>
    </row>
    <row r="337" spans="22:27" x14ac:dyDescent="0.25">
      <c r="V337">
        <v>1</v>
      </c>
      <c r="W337">
        <v>100</v>
      </c>
      <c r="X337">
        <v>150</v>
      </c>
      <c r="Y337">
        <v>105</v>
      </c>
      <c r="Z337">
        <v>85.400001525878906</v>
      </c>
      <c r="AA337">
        <v>23.700000762939499</v>
      </c>
    </row>
    <row r="338" spans="22:27" x14ac:dyDescent="0.25">
      <c r="V338">
        <v>1</v>
      </c>
      <c r="W338">
        <v>100</v>
      </c>
      <c r="X338">
        <v>165</v>
      </c>
      <c r="Y338">
        <v>105</v>
      </c>
      <c r="Z338">
        <v>85.400001525878906</v>
      </c>
      <c r="AA338">
        <v>25</v>
      </c>
    </row>
    <row r="339" spans="22:27" x14ac:dyDescent="0.25">
      <c r="V339">
        <v>1</v>
      </c>
      <c r="W339">
        <v>100</v>
      </c>
      <c r="X339">
        <v>165</v>
      </c>
      <c r="Y339">
        <v>110</v>
      </c>
      <c r="Z339">
        <v>89.5</v>
      </c>
      <c r="AA339">
        <v>25</v>
      </c>
    </row>
    <row r="340" spans="22:27" x14ac:dyDescent="0.25">
      <c r="V340">
        <v>1</v>
      </c>
      <c r="W340">
        <v>100</v>
      </c>
      <c r="X340">
        <v>165</v>
      </c>
      <c r="Y340">
        <v>110</v>
      </c>
      <c r="Z340">
        <v>89.5</v>
      </c>
      <c r="AA340">
        <v>25</v>
      </c>
    </row>
    <row r="341" spans="22:27" x14ac:dyDescent="0.25">
      <c r="V341">
        <v>1</v>
      </c>
      <c r="W341">
        <v>100</v>
      </c>
      <c r="X341">
        <v>165</v>
      </c>
      <c r="Y341">
        <v>105</v>
      </c>
      <c r="Z341">
        <v>85.400001525878906</v>
      </c>
      <c r="AA341">
        <v>25</v>
      </c>
    </row>
    <row r="342" spans="22:27" x14ac:dyDescent="0.25">
      <c r="V342">
        <v>1</v>
      </c>
      <c r="W342">
        <v>100</v>
      </c>
      <c r="X342">
        <v>165</v>
      </c>
      <c r="Y342">
        <v>105</v>
      </c>
      <c r="Z342">
        <v>85.400001525878906</v>
      </c>
      <c r="AA342">
        <v>25</v>
      </c>
    </row>
    <row r="343" spans="22:27" x14ac:dyDescent="0.25">
      <c r="V343">
        <v>1</v>
      </c>
      <c r="W343">
        <v>100</v>
      </c>
      <c r="X343">
        <v>175</v>
      </c>
      <c r="Y343">
        <v>105</v>
      </c>
      <c r="Z343">
        <v>85.400001525878906</v>
      </c>
      <c r="AA343">
        <v>24.600000381469702</v>
      </c>
    </row>
    <row r="344" spans="22:27" x14ac:dyDescent="0.25">
      <c r="V344">
        <v>1</v>
      </c>
      <c r="W344">
        <v>100</v>
      </c>
      <c r="X344">
        <v>175</v>
      </c>
      <c r="Y344">
        <v>110</v>
      </c>
      <c r="Z344">
        <v>89.5</v>
      </c>
      <c r="AA344">
        <v>24.600000381469702</v>
      </c>
    </row>
    <row r="345" spans="22:27" x14ac:dyDescent="0.25">
      <c r="V345">
        <v>1</v>
      </c>
      <c r="W345">
        <v>100</v>
      </c>
      <c r="X345">
        <v>175</v>
      </c>
      <c r="Y345">
        <v>110</v>
      </c>
      <c r="Z345">
        <v>89.5</v>
      </c>
      <c r="AA345">
        <v>24.600000381469702</v>
      </c>
    </row>
    <row r="346" spans="22:27" x14ac:dyDescent="0.25">
      <c r="V346">
        <v>1</v>
      </c>
      <c r="W346">
        <v>100</v>
      </c>
      <c r="X346">
        <v>175</v>
      </c>
      <c r="Y346">
        <v>105</v>
      </c>
      <c r="Z346">
        <v>85.400001525878906</v>
      </c>
      <c r="AA346">
        <v>24.600000381469702</v>
      </c>
    </row>
    <row r="347" spans="22:27" x14ac:dyDescent="0.25">
      <c r="V347">
        <v>1</v>
      </c>
      <c r="W347">
        <v>100</v>
      </c>
      <c r="X347">
        <v>175</v>
      </c>
      <c r="Y347">
        <v>105</v>
      </c>
      <c r="Z347">
        <v>85.400001525878906</v>
      </c>
      <c r="AA347">
        <v>24.600000381469702</v>
      </c>
    </row>
    <row r="348" spans="22:27" x14ac:dyDescent="0.25">
      <c r="V348">
        <v>1</v>
      </c>
      <c r="W348">
        <v>125</v>
      </c>
      <c r="X348">
        <v>100</v>
      </c>
      <c r="Y348">
        <v>131.30000305175801</v>
      </c>
      <c r="Z348">
        <v>106</v>
      </c>
      <c r="AA348">
        <v>19.200000762939499</v>
      </c>
    </row>
    <row r="349" spans="22:27" x14ac:dyDescent="0.25">
      <c r="V349">
        <v>1</v>
      </c>
      <c r="W349">
        <v>125</v>
      </c>
      <c r="X349">
        <v>100</v>
      </c>
      <c r="Y349">
        <v>137.5</v>
      </c>
      <c r="Z349">
        <v>111</v>
      </c>
      <c r="AA349">
        <v>19.200000762939499</v>
      </c>
    </row>
    <row r="350" spans="22:27" x14ac:dyDescent="0.25">
      <c r="V350">
        <v>1</v>
      </c>
      <c r="W350">
        <v>125</v>
      </c>
      <c r="X350">
        <v>100</v>
      </c>
      <c r="Y350">
        <v>137.5</v>
      </c>
      <c r="Z350">
        <v>111</v>
      </c>
      <c r="AA350">
        <v>19.200000762939499</v>
      </c>
    </row>
    <row r="351" spans="22:27" x14ac:dyDescent="0.25">
      <c r="V351">
        <v>1</v>
      </c>
      <c r="W351">
        <v>125</v>
      </c>
      <c r="X351">
        <v>100</v>
      </c>
      <c r="Y351">
        <v>131.30000305175801</v>
      </c>
      <c r="Z351">
        <v>106</v>
      </c>
      <c r="AA351">
        <v>19.200000762939499</v>
      </c>
    </row>
    <row r="352" spans="22:27" x14ac:dyDescent="0.25">
      <c r="V352">
        <v>1</v>
      </c>
      <c r="W352">
        <v>125</v>
      </c>
      <c r="X352">
        <v>100</v>
      </c>
      <c r="Y352">
        <v>131.30000305175801</v>
      </c>
      <c r="Z352">
        <v>106</v>
      </c>
      <c r="AA352">
        <v>19.200000762939499</v>
      </c>
    </row>
    <row r="353" spans="22:34" x14ac:dyDescent="0.25">
      <c r="V353">
        <v>1</v>
      </c>
      <c r="W353">
        <v>125</v>
      </c>
      <c r="X353">
        <v>110</v>
      </c>
      <c r="Y353">
        <v>131.30000305175801</v>
      </c>
      <c r="Z353">
        <v>106</v>
      </c>
      <c r="AA353">
        <v>18.200000762939499</v>
      </c>
    </row>
    <row r="354" spans="22:34" x14ac:dyDescent="0.25">
      <c r="V354">
        <v>1</v>
      </c>
      <c r="W354">
        <v>125</v>
      </c>
      <c r="X354">
        <v>110</v>
      </c>
      <c r="Y354">
        <v>137.5</v>
      </c>
      <c r="Z354">
        <v>111</v>
      </c>
      <c r="AA354">
        <v>18.200000762939499</v>
      </c>
    </row>
    <row r="355" spans="22:34" x14ac:dyDescent="0.25">
      <c r="V355">
        <v>1</v>
      </c>
      <c r="W355">
        <v>125</v>
      </c>
      <c r="X355">
        <v>110</v>
      </c>
      <c r="Y355">
        <v>137.5</v>
      </c>
      <c r="Z355">
        <v>111</v>
      </c>
      <c r="AA355">
        <v>18.200000762939499</v>
      </c>
    </row>
    <row r="356" spans="22:34" x14ac:dyDescent="0.25">
      <c r="V356">
        <v>1</v>
      </c>
      <c r="W356">
        <v>125</v>
      </c>
      <c r="X356">
        <v>110</v>
      </c>
      <c r="Y356">
        <v>131.30000305175801</v>
      </c>
      <c r="Z356">
        <v>106</v>
      </c>
      <c r="AA356">
        <v>18.200000762939499</v>
      </c>
    </row>
    <row r="357" spans="22:34" x14ac:dyDescent="0.25">
      <c r="V357">
        <v>1</v>
      </c>
      <c r="W357">
        <v>125</v>
      </c>
      <c r="X357">
        <v>110</v>
      </c>
      <c r="Y357">
        <v>131.30000305175801</v>
      </c>
      <c r="Z357">
        <v>106</v>
      </c>
      <c r="AA357">
        <v>18.200000762939499</v>
      </c>
    </row>
    <row r="358" spans="22:34" x14ac:dyDescent="0.25">
      <c r="V358">
        <v>1</v>
      </c>
      <c r="W358">
        <v>125</v>
      </c>
      <c r="X358">
        <v>115</v>
      </c>
      <c r="Y358">
        <v>131.30000305175801</v>
      </c>
      <c r="Z358">
        <v>106</v>
      </c>
      <c r="AA358">
        <v>18.799999237060501</v>
      </c>
    </row>
    <row r="359" spans="22:34" x14ac:dyDescent="0.25">
      <c r="V359">
        <v>1</v>
      </c>
      <c r="W359">
        <v>125</v>
      </c>
      <c r="X359">
        <v>115</v>
      </c>
      <c r="Y359">
        <v>137.5</v>
      </c>
      <c r="Z359">
        <v>111</v>
      </c>
      <c r="AA359">
        <v>18.799999237060501</v>
      </c>
    </row>
    <row r="360" spans="22:34" x14ac:dyDescent="0.25">
      <c r="V360">
        <v>1</v>
      </c>
      <c r="W360">
        <v>125</v>
      </c>
      <c r="X360">
        <v>115</v>
      </c>
      <c r="Y360">
        <v>137.5</v>
      </c>
      <c r="Z360">
        <v>111</v>
      </c>
      <c r="AA360">
        <v>18.799999237060501</v>
      </c>
      <c r="AC360">
        <v>1</v>
      </c>
      <c r="AD360">
        <v>125</v>
      </c>
      <c r="AE360">
        <v>18.799999237060501</v>
      </c>
      <c r="AF360">
        <v>115</v>
      </c>
      <c r="AG360">
        <v>131.30000305175801</v>
      </c>
      <c r="AH360">
        <v>106</v>
      </c>
    </row>
    <row r="361" spans="22:34" x14ac:dyDescent="0.25">
      <c r="V361">
        <v>1</v>
      </c>
      <c r="W361">
        <v>125</v>
      </c>
      <c r="X361">
        <v>115</v>
      </c>
      <c r="Y361">
        <v>131.30000305175801</v>
      </c>
      <c r="Z361">
        <v>106</v>
      </c>
      <c r="AA361">
        <v>18.799999237060501</v>
      </c>
      <c r="AC361">
        <v>1</v>
      </c>
      <c r="AD361">
        <v>125</v>
      </c>
      <c r="AE361">
        <v>18.799999237060501</v>
      </c>
      <c r="AF361">
        <v>115</v>
      </c>
      <c r="AG361">
        <v>137.5</v>
      </c>
      <c r="AH361">
        <v>111</v>
      </c>
    </row>
    <row r="362" spans="22:34" x14ac:dyDescent="0.25">
      <c r="V362">
        <v>1</v>
      </c>
      <c r="W362">
        <v>125</v>
      </c>
      <c r="X362">
        <v>115</v>
      </c>
      <c r="Y362">
        <v>131.30000305175801</v>
      </c>
      <c r="Z362">
        <v>106</v>
      </c>
      <c r="AA362">
        <v>18.799999237060501</v>
      </c>
      <c r="AC362">
        <v>1</v>
      </c>
      <c r="AD362">
        <v>125</v>
      </c>
      <c r="AE362">
        <v>18.799999237060501</v>
      </c>
      <c r="AF362">
        <v>115</v>
      </c>
      <c r="AG362">
        <v>137.5</v>
      </c>
      <c r="AH362">
        <v>111</v>
      </c>
    </row>
    <row r="363" spans="22:34" x14ac:dyDescent="0.25">
      <c r="V363">
        <v>1</v>
      </c>
      <c r="W363">
        <v>125</v>
      </c>
      <c r="X363">
        <v>125</v>
      </c>
      <c r="Y363">
        <v>131.30000305175801</v>
      </c>
      <c r="Z363">
        <v>106</v>
      </c>
      <c r="AA363">
        <v>19.399999618530298</v>
      </c>
      <c r="AC363">
        <v>1</v>
      </c>
      <c r="AD363">
        <v>125</v>
      </c>
      <c r="AE363">
        <v>18.799999237060501</v>
      </c>
      <c r="AF363">
        <v>115</v>
      </c>
      <c r="AG363">
        <v>131.30000305175801</v>
      </c>
      <c r="AH363">
        <v>106</v>
      </c>
    </row>
    <row r="364" spans="22:34" x14ac:dyDescent="0.25">
      <c r="V364">
        <v>1</v>
      </c>
      <c r="W364">
        <v>125</v>
      </c>
      <c r="X364">
        <v>125</v>
      </c>
      <c r="Y364">
        <v>137.5</v>
      </c>
      <c r="Z364">
        <v>111</v>
      </c>
      <c r="AA364">
        <v>19.399999618530298</v>
      </c>
      <c r="AC364">
        <v>1</v>
      </c>
      <c r="AD364">
        <v>125</v>
      </c>
      <c r="AE364">
        <v>18.799999237060501</v>
      </c>
      <c r="AF364">
        <v>115</v>
      </c>
      <c r="AG364">
        <v>131.30000305175801</v>
      </c>
      <c r="AH364">
        <v>106</v>
      </c>
    </row>
    <row r="365" spans="22:34" x14ac:dyDescent="0.25">
      <c r="V365">
        <v>1</v>
      </c>
      <c r="W365">
        <v>125</v>
      </c>
      <c r="X365">
        <v>125</v>
      </c>
      <c r="Y365">
        <v>137.5</v>
      </c>
      <c r="Z365">
        <v>111</v>
      </c>
      <c r="AA365">
        <v>19.399999618530298</v>
      </c>
    </row>
    <row r="366" spans="22:34" x14ac:dyDescent="0.25">
      <c r="V366">
        <v>1</v>
      </c>
      <c r="W366">
        <v>125</v>
      </c>
      <c r="X366">
        <v>125</v>
      </c>
      <c r="Y366">
        <v>131.30000305175801</v>
      </c>
      <c r="Z366">
        <v>106</v>
      </c>
      <c r="AA366">
        <v>19.399999618530298</v>
      </c>
    </row>
    <row r="367" spans="22:34" x14ac:dyDescent="0.25">
      <c r="V367">
        <v>1</v>
      </c>
      <c r="W367">
        <v>125</v>
      </c>
      <c r="X367">
        <v>125</v>
      </c>
      <c r="Y367">
        <v>131.30000305175801</v>
      </c>
      <c r="Z367">
        <v>106</v>
      </c>
      <c r="AA367">
        <v>19.399999618530298</v>
      </c>
    </row>
    <row r="368" spans="22:34" x14ac:dyDescent="0.25">
      <c r="V368">
        <v>1</v>
      </c>
      <c r="W368">
        <v>125</v>
      </c>
      <c r="X368">
        <v>140</v>
      </c>
      <c r="Y368">
        <v>131.30000305175801</v>
      </c>
      <c r="Z368">
        <v>106</v>
      </c>
      <c r="AA368">
        <v>21.100000381469702</v>
      </c>
    </row>
    <row r="369" spans="22:27" x14ac:dyDescent="0.25">
      <c r="V369">
        <v>1</v>
      </c>
      <c r="W369">
        <v>125</v>
      </c>
      <c r="X369">
        <v>140</v>
      </c>
      <c r="Y369">
        <v>137.5</v>
      </c>
      <c r="Z369">
        <v>111</v>
      </c>
      <c r="AA369">
        <v>21.100000381469702</v>
      </c>
    </row>
    <row r="370" spans="22:27" x14ac:dyDescent="0.25">
      <c r="V370">
        <v>1</v>
      </c>
      <c r="W370">
        <v>125</v>
      </c>
      <c r="X370">
        <v>140</v>
      </c>
      <c r="Y370">
        <v>137.5</v>
      </c>
      <c r="Z370">
        <v>111</v>
      </c>
      <c r="AA370">
        <v>21.100000381469702</v>
      </c>
    </row>
    <row r="371" spans="22:27" x14ac:dyDescent="0.25">
      <c r="V371">
        <v>1</v>
      </c>
      <c r="W371">
        <v>125</v>
      </c>
      <c r="X371">
        <v>140</v>
      </c>
      <c r="Y371">
        <v>131.30000305175801</v>
      </c>
      <c r="Z371">
        <v>106</v>
      </c>
      <c r="AA371">
        <v>21.100000381469702</v>
      </c>
    </row>
    <row r="372" spans="22:27" x14ac:dyDescent="0.25">
      <c r="V372">
        <v>1</v>
      </c>
      <c r="W372">
        <v>125</v>
      </c>
      <c r="X372">
        <v>140</v>
      </c>
      <c r="Y372">
        <v>131.30000305175801</v>
      </c>
      <c r="Z372">
        <v>106</v>
      </c>
      <c r="AA372">
        <v>21.100000381469702</v>
      </c>
    </row>
    <row r="373" spans="22:27" x14ac:dyDescent="0.25">
      <c r="V373">
        <v>1</v>
      </c>
      <c r="W373">
        <v>125</v>
      </c>
      <c r="X373">
        <v>150</v>
      </c>
      <c r="Y373">
        <v>131.30000305175801</v>
      </c>
      <c r="Z373">
        <v>106</v>
      </c>
      <c r="AA373">
        <v>22.5</v>
      </c>
    </row>
    <row r="374" spans="22:27" x14ac:dyDescent="0.25">
      <c r="V374">
        <v>1</v>
      </c>
      <c r="W374">
        <v>125</v>
      </c>
      <c r="X374">
        <v>150</v>
      </c>
      <c r="Y374">
        <v>137.5</v>
      </c>
      <c r="Z374">
        <v>111</v>
      </c>
      <c r="AA374">
        <v>22.5</v>
      </c>
    </row>
    <row r="375" spans="22:27" x14ac:dyDescent="0.25">
      <c r="V375">
        <v>1</v>
      </c>
      <c r="W375">
        <v>125</v>
      </c>
      <c r="X375">
        <v>150</v>
      </c>
      <c r="Y375">
        <v>137.5</v>
      </c>
      <c r="Z375">
        <v>111</v>
      </c>
      <c r="AA375">
        <v>22.5</v>
      </c>
    </row>
    <row r="376" spans="22:27" x14ac:dyDescent="0.25">
      <c r="V376">
        <v>1</v>
      </c>
      <c r="W376">
        <v>125</v>
      </c>
      <c r="X376">
        <v>150</v>
      </c>
      <c r="Y376">
        <v>131.30000305175801</v>
      </c>
      <c r="Z376">
        <v>106</v>
      </c>
      <c r="AA376">
        <v>22.5</v>
      </c>
    </row>
    <row r="377" spans="22:27" x14ac:dyDescent="0.25">
      <c r="V377">
        <v>1</v>
      </c>
      <c r="W377">
        <v>125</v>
      </c>
      <c r="X377">
        <v>150</v>
      </c>
      <c r="Y377">
        <v>131.30000305175801</v>
      </c>
      <c r="Z377">
        <v>106</v>
      </c>
      <c r="AA377">
        <v>22.5</v>
      </c>
    </row>
    <row r="378" spans="22:27" x14ac:dyDescent="0.25">
      <c r="V378">
        <v>1</v>
      </c>
      <c r="W378">
        <v>125</v>
      </c>
      <c r="X378">
        <v>175</v>
      </c>
      <c r="Y378">
        <v>131.30000305175801</v>
      </c>
      <c r="Z378">
        <v>106</v>
      </c>
      <c r="AA378">
        <v>24.799999237060501</v>
      </c>
    </row>
    <row r="379" spans="22:27" x14ac:dyDescent="0.25">
      <c r="V379">
        <v>1</v>
      </c>
      <c r="W379">
        <v>125</v>
      </c>
      <c r="X379">
        <v>175</v>
      </c>
      <c r="Y379">
        <v>137.5</v>
      </c>
      <c r="Z379">
        <v>111</v>
      </c>
      <c r="AA379">
        <v>24.799999237060501</v>
      </c>
    </row>
    <row r="380" spans="22:27" x14ac:dyDescent="0.25">
      <c r="V380">
        <v>1</v>
      </c>
      <c r="W380">
        <v>125</v>
      </c>
      <c r="X380">
        <v>175</v>
      </c>
      <c r="Y380">
        <v>137.5</v>
      </c>
      <c r="Z380">
        <v>111</v>
      </c>
      <c r="AA380">
        <v>24.799999237060501</v>
      </c>
    </row>
    <row r="381" spans="22:27" x14ac:dyDescent="0.25">
      <c r="V381">
        <v>1</v>
      </c>
      <c r="W381">
        <v>125</v>
      </c>
      <c r="X381">
        <v>175</v>
      </c>
      <c r="Y381">
        <v>131.30000305175801</v>
      </c>
      <c r="Z381">
        <v>106</v>
      </c>
      <c r="AA381">
        <v>24.799999237060501</v>
      </c>
    </row>
    <row r="382" spans="22:27" x14ac:dyDescent="0.25">
      <c r="V382">
        <v>1</v>
      </c>
      <c r="W382">
        <v>125</v>
      </c>
      <c r="X382">
        <v>175</v>
      </c>
      <c r="Y382">
        <v>131.30000305175801</v>
      </c>
      <c r="Z382">
        <v>106</v>
      </c>
      <c r="AA382">
        <v>24.799999237060501</v>
      </c>
    </row>
    <row r="383" spans="22:27" x14ac:dyDescent="0.25">
      <c r="V383">
        <v>1</v>
      </c>
      <c r="W383">
        <v>125</v>
      </c>
      <c r="X383">
        <v>200</v>
      </c>
      <c r="Y383">
        <v>131.30000305175801</v>
      </c>
      <c r="Z383">
        <v>106</v>
      </c>
      <c r="AA383">
        <v>29.899999618530298</v>
      </c>
    </row>
    <row r="384" spans="22:27" x14ac:dyDescent="0.25">
      <c r="V384">
        <v>1</v>
      </c>
      <c r="W384">
        <v>125</v>
      </c>
      <c r="X384">
        <v>200</v>
      </c>
      <c r="Y384">
        <v>137.5</v>
      </c>
      <c r="Z384">
        <v>111</v>
      </c>
      <c r="AA384">
        <v>29.899999618530298</v>
      </c>
    </row>
    <row r="385" spans="22:34" x14ac:dyDescent="0.25">
      <c r="V385">
        <v>1</v>
      </c>
      <c r="W385">
        <v>125</v>
      </c>
      <c r="X385">
        <v>200</v>
      </c>
      <c r="Y385">
        <v>137.5</v>
      </c>
      <c r="Z385">
        <v>111</v>
      </c>
      <c r="AA385">
        <v>29.899999618530298</v>
      </c>
    </row>
    <row r="386" spans="22:34" x14ac:dyDescent="0.25">
      <c r="V386">
        <v>1</v>
      </c>
      <c r="W386">
        <v>125</v>
      </c>
      <c r="X386">
        <v>200</v>
      </c>
      <c r="Y386">
        <v>131.30000305175801</v>
      </c>
      <c r="Z386">
        <v>106</v>
      </c>
      <c r="AA386">
        <v>29.899999618530298</v>
      </c>
    </row>
    <row r="387" spans="22:34" x14ac:dyDescent="0.25">
      <c r="V387">
        <v>1</v>
      </c>
      <c r="W387">
        <v>125</v>
      </c>
      <c r="X387">
        <v>200</v>
      </c>
      <c r="Y387">
        <v>131.30000305175801</v>
      </c>
      <c r="Z387">
        <v>106</v>
      </c>
      <c r="AA387">
        <v>29.899999618530298</v>
      </c>
    </row>
    <row r="388" spans="22:34" x14ac:dyDescent="0.25">
      <c r="V388">
        <v>1</v>
      </c>
      <c r="W388">
        <v>150</v>
      </c>
      <c r="X388">
        <v>100</v>
      </c>
      <c r="Y388">
        <v>157.5</v>
      </c>
      <c r="Z388">
        <v>126.300003051758</v>
      </c>
      <c r="AA388">
        <v>17.299999237060501</v>
      </c>
    </row>
    <row r="389" spans="22:34" x14ac:dyDescent="0.25">
      <c r="V389">
        <v>1</v>
      </c>
      <c r="W389">
        <v>150</v>
      </c>
      <c r="X389">
        <v>100</v>
      </c>
      <c r="Y389">
        <v>165</v>
      </c>
      <c r="Z389">
        <v>132.39999389648401</v>
      </c>
      <c r="AA389">
        <v>17.299999237060501</v>
      </c>
    </row>
    <row r="390" spans="22:34" x14ac:dyDescent="0.25">
      <c r="V390">
        <v>1</v>
      </c>
      <c r="W390">
        <v>150</v>
      </c>
      <c r="X390">
        <v>100</v>
      </c>
      <c r="Y390">
        <v>165</v>
      </c>
      <c r="Z390">
        <v>132.39999389648401</v>
      </c>
      <c r="AA390">
        <v>17.299999237060501</v>
      </c>
    </row>
    <row r="391" spans="22:34" x14ac:dyDescent="0.25">
      <c r="V391">
        <v>1</v>
      </c>
      <c r="W391">
        <v>150</v>
      </c>
      <c r="X391">
        <v>100</v>
      </c>
      <c r="Y391">
        <v>157.5</v>
      </c>
      <c r="Z391">
        <v>126.300003051758</v>
      </c>
      <c r="AA391">
        <v>17.299999237060501</v>
      </c>
    </row>
    <row r="392" spans="22:34" x14ac:dyDescent="0.25">
      <c r="V392">
        <v>1</v>
      </c>
      <c r="W392">
        <v>150</v>
      </c>
      <c r="X392">
        <v>100</v>
      </c>
      <c r="Y392">
        <v>157.5</v>
      </c>
      <c r="Z392">
        <v>126.300003051758</v>
      </c>
      <c r="AA392">
        <v>17.299999237060501</v>
      </c>
    </row>
    <row r="393" spans="22:34" x14ac:dyDescent="0.25">
      <c r="V393">
        <v>1</v>
      </c>
      <c r="W393">
        <v>150</v>
      </c>
      <c r="X393">
        <v>110</v>
      </c>
      <c r="Y393">
        <v>157.5</v>
      </c>
      <c r="Z393">
        <v>126.300003051758</v>
      </c>
      <c r="AA393">
        <v>17.899999618530298</v>
      </c>
    </row>
    <row r="394" spans="22:34" x14ac:dyDescent="0.25">
      <c r="V394">
        <v>1</v>
      </c>
      <c r="W394">
        <v>150</v>
      </c>
      <c r="X394">
        <v>110</v>
      </c>
      <c r="Y394">
        <v>165</v>
      </c>
      <c r="Z394">
        <v>132.39999389648401</v>
      </c>
      <c r="AA394">
        <v>17.899999618530298</v>
      </c>
    </row>
    <row r="395" spans="22:34" x14ac:dyDescent="0.25">
      <c r="V395">
        <v>1</v>
      </c>
      <c r="W395">
        <v>150</v>
      </c>
      <c r="X395">
        <v>110</v>
      </c>
      <c r="Y395">
        <v>165</v>
      </c>
      <c r="Z395">
        <v>132.39999389648401</v>
      </c>
      <c r="AA395">
        <v>17.899999618530298</v>
      </c>
    </row>
    <row r="396" spans="22:34" x14ac:dyDescent="0.25">
      <c r="V396">
        <v>1</v>
      </c>
      <c r="W396">
        <v>150</v>
      </c>
      <c r="X396">
        <v>110</v>
      </c>
      <c r="Y396">
        <v>157.5</v>
      </c>
      <c r="Z396">
        <v>126.300003051758</v>
      </c>
      <c r="AA396">
        <v>17.899999618530298</v>
      </c>
    </row>
    <row r="397" spans="22:34" x14ac:dyDescent="0.25">
      <c r="V397">
        <v>1</v>
      </c>
      <c r="W397">
        <v>150</v>
      </c>
      <c r="X397">
        <v>110</v>
      </c>
      <c r="Y397">
        <v>157.5</v>
      </c>
      <c r="Z397">
        <v>126.300003051758</v>
      </c>
      <c r="AA397">
        <v>17.899999618530298</v>
      </c>
    </row>
    <row r="398" spans="22:34" x14ac:dyDescent="0.25">
      <c r="V398">
        <v>1</v>
      </c>
      <c r="W398">
        <v>150</v>
      </c>
      <c r="X398">
        <v>115</v>
      </c>
      <c r="Y398">
        <v>157.5</v>
      </c>
      <c r="Z398">
        <v>126.300003051758</v>
      </c>
      <c r="AA398">
        <v>18.799999237060501</v>
      </c>
    </row>
    <row r="399" spans="22:34" x14ac:dyDescent="0.25">
      <c r="V399">
        <v>1</v>
      </c>
      <c r="W399">
        <v>150</v>
      </c>
      <c r="X399">
        <v>115</v>
      </c>
      <c r="Y399">
        <v>165</v>
      </c>
      <c r="Z399">
        <v>132.39999389648401</v>
      </c>
      <c r="AA399">
        <v>18.799999237060501</v>
      </c>
    </row>
    <row r="400" spans="22:34" x14ac:dyDescent="0.25">
      <c r="V400">
        <v>1</v>
      </c>
      <c r="W400">
        <v>150</v>
      </c>
      <c r="X400">
        <v>115</v>
      </c>
      <c r="Y400">
        <v>165</v>
      </c>
      <c r="Z400">
        <v>132.39999389648401</v>
      </c>
      <c r="AA400">
        <v>18.799999237060501</v>
      </c>
      <c r="AC400">
        <v>1</v>
      </c>
      <c r="AD400">
        <v>150</v>
      </c>
      <c r="AE400">
        <v>18.799999237060501</v>
      </c>
      <c r="AF400">
        <v>115</v>
      </c>
      <c r="AG400">
        <v>157.5</v>
      </c>
      <c r="AH400">
        <v>126.300003051758</v>
      </c>
    </row>
    <row r="401" spans="22:34" x14ac:dyDescent="0.25">
      <c r="V401">
        <v>1</v>
      </c>
      <c r="W401">
        <v>150</v>
      </c>
      <c r="X401">
        <v>115</v>
      </c>
      <c r="Y401">
        <v>157.5</v>
      </c>
      <c r="Z401">
        <v>126.300003051758</v>
      </c>
      <c r="AA401">
        <v>18.799999237060501</v>
      </c>
      <c r="AC401">
        <v>1</v>
      </c>
      <c r="AD401">
        <v>150</v>
      </c>
      <c r="AE401">
        <v>18.799999237060501</v>
      </c>
      <c r="AF401">
        <v>115</v>
      </c>
      <c r="AG401">
        <v>165</v>
      </c>
      <c r="AH401">
        <v>132.39999389648401</v>
      </c>
    </row>
    <row r="402" spans="22:34" x14ac:dyDescent="0.25">
      <c r="V402">
        <v>1</v>
      </c>
      <c r="W402">
        <v>150</v>
      </c>
      <c r="X402">
        <v>115</v>
      </c>
      <c r="Y402">
        <v>157.5</v>
      </c>
      <c r="Z402">
        <v>126.300003051758</v>
      </c>
      <c r="AA402">
        <v>18.799999237060501</v>
      </c>
      <c r="AC402">
        <v>1</v>
      </c>
      <c r="AD402">
        <v>150</v>
      </c>
      <c r="AE402">
        <v>18.799999237060501</v>
      </c>
      <c r="AF402">
        <v>115</v>
      </c>
      <c r="AG402">
        <v>165</v>
      </c>
      <c r="AH402">
        <v>132.39999389648401</v>
      </c>
    </row>
    <row r="403" spans="22:34" x14ac:dyDescent="0.25">
      <c r="V403">
        <v>1</v>
      </c>
      <c r="W403">
        <v>150</v>
      </c>
      <c r="X403">
        <v>125</v>
      </c>
      <c r="Y403">
        <v>157.5</v>
      </c>
      <c r="Z403">
        <v>126.300003051758</v>
      </c>
      <c r="AA403">
        <v>19.700000762939499</v>
      </c>
      <c r="AC403">
        <v>1</v>
      </c>
      <c r="AD403">
        <v>150</v>
      </c>
      <c r="AE403">
        <v>18.799999237060501</v>
      </c>
      <c r="AF403">
        <v>115</v>
      </c>
      <c r="AG403">
        <v>157.5</v>
      </c>
      <c r="AH403">
        <v>126.300003051758</v>
      </c>
    </row>
    <row r="404" spans="22:34" x14ac:dyDescent="0.25">
      <c r="V404">
        <v>1</v>
      </c>
      <c r="W404">
        <v>150</v>
      </c>
      <c r="X404">
        <v>125</v>
      </c>
      <c r="Y404">
        <v>165</v>
      </c>
      <c r="Z404">
        <v>132.39999389648401</v>
      </c>
      <c r="AA404">
        <v>19.700000762939499</v>
      </c>
      <c r="AC404">
        <v>1</v>
      </c>
      <c r="AD404">
        <v>150</v>
      </c>
      <c r="AE404">
        <v>18.799999237060501</v>
      </c>
      <c r="AF404">
        <v>115</v>
      </c>
      <c r="AG404">
        <v>157.5</v>
      </c>
      <c r="AH404">
        <v>126.300003051758</v>
      </c>
    </row>
    <row r="405" spans="22:34" x14ac:dyDescent="0.25">
      <c r="V405">
        <v>1</v>
      </c>
      <c r="W405">
        <v>150</v>
      </c>
      <c r="X405">
        <v>125</v>
      </c>
      <c r="Y405">
        <v>165</v>
      </c>
      <c r="Z405">
        <v>132.39999389648401</v>
      </c>
      <c r="AA405">
        <v>19.700000762939499</v>
      </c>
    </row>
    <row r="406" spans="22:34" x14ac:dyDescent="0.25">
      <c r="V406">
        <v>1</v>
      </c>
      <c r="W406">
        <v>150</v>
      </c>
      <c r="X406">
        <v>125</v>
      </c>
      <c r="Y406">
        <v>157.5</v>
      </c>
      <c r="Z406">
        <v>126.300003051758</v>
      </c>
      <c r="AA406">
        <v>19.700000762939499</v>
      </c>
    </row>
    <row r="407" spans="22:34" x14ac:dyDescent="0.25">
      <c r="V407">
        <v>1</v>
      </c>
      <c r="W407">
        <v>150</v>
      </c>
      <c r="X407">
        <v>125</v>
      </c>
      <c r="Y407">
        <v>157.5</v>
      </c>
      <c r="Z407">
        <v>126.300003051758</v>
      </c>
      <c r="AA407">
        <v>19.700000762939499</v>
      </c>
    </row>
    <row r="408" spans="22:34" x14ac:dyDescent="0.25">
      <c r="V408">
        <v>1</v>
      </c>
      <c r="W408">
        <v>150</v>
      </c>
      <c r="X408">
        <v>140</v>
      </c>
      <c r="Y408">
        <v>157.5</v>
      </c>
      <c r="Z408">
        <v>126.300003051758</v>
      </c>
      <c r="AA408">
        <v>21.5</v>
      </c>
    </row>
    <row r="409" spans="22:34" x14ac:dyDescent="0.25">
      <c r="V409">
        <v>1</v>
      </c>
      <c r="W409">
        <v>150</v>
      </c>
      <c r="X409">
        <v>140</v>
      </c>
      <c r="Y409">
        <v>165</v>
      </c>
      <c r="Z409">
        <v>132.39999389648401</v>
      </c>
      <c r="AA409">
        <v>21.5</v>
      </c>
    </row>
    <row r="410" spans="22:34" x14ac:dyDescent="0.25">
      <c r="V410">
        <v>1</v>
      </c>
      <c r="W410">
        <v>150</v>
      </c>
      <c r="X410">
        <v>140</v>
      </c>
      <c r="Y410">
        <v>165</v>
      </c>
      <c r="Z410">
        <v>132.39999389648401</v>
      </c>
      <c r="AA410">
        <v>21.5</v>
      </c>
    </row>
    <row r="411" spans="22:34" x14ac:dyDescent="0.25">
      <c r="V411">
        <v>1</v>
      </c>
      <c r="W411">
        <v>150</v>
      </c>
      <c r="X411">
        <v>140</v>
      </c>
      <c r="Y411">
        <v>157.5</v>
      </c>
      <c r="Z411">
        <v>126.300003051758</v>
      </c>
      <c r="AA411">
        <v>21.5</v>
      </c>
    </row>
    <row r="412" spans="22:34" x14ac:dyDescent="0.25">
      <c r="V412">
        <v>1</v>
      </c>
      <c r="W412">
        <v>150</v>
      </c>
      <c r="X412">
        <v>140</v>
      </c>
      <c r="Y412">
        <v>157.5</v>
      </c>
      <c r="Z412">
        <v>126.300003051758</v>
      </c>
      <c r="AA412">
        <v>21.5</v>
      </c>
    </row>
    <row r="413" spans="22:34" x14ac:dyDescent="0.25">
      <c r="V413">
        <v>1</v>
      </c>
      <c r="W413">
        <v>150</v>
      </c>
      <c r="X413">
        <v>150</v>
      </c>
      <c r="Y413">
        <v>157.5</v>
      </c>
      <c r="Z413">
        <v>126.300003051758</v>
      </c>
      <c r="AA413">
        <v>21.799999237060501</v>
      </c>
    </row>
    <row r="414" spans="22:34" x14ac:dyDescent="0.25">
      <c r="V414">
        <v>1</v>
      </c>
      <c r="W414">
        <v>150</v>
      </c>
      <c r="X414">
        <v>150</v>
      </c>
      <c r="Y414">
        <v>165</v>
      </c>
      <c r="Z414">
        <v>132.39999389648401</v>
      </c>
      <c r="AA414">
        <v>21.799999237060501</v>
      </c>
    </row>
    <row r="415" spans="22:34" x14ac:dyDescent="0.25">
      <c r="V415">
        <v>1</v>
      </c>
      <c r="W415">
        <v>150</v>
      </c>
      <c r="X415">
        <v>150</v>
      </c>
      <c r="Y415">
        <v>165</v>
      </c>
      <c r="Z415">
        <v>132.39999389648401</v>
      </c>
      <c r="AA415">
        <v>21.799999237060501</v>
      </c>
    </row>
    <row r="416" spans="22:34" x14ac:dyDescent="0.25">
      <c r="V416">
        <v>1</v>
      </c>
      <c r="W416">
        <v>150</v>
      </c>
      <c r="X416">
        <v>150</v>
      </c>
      <c r="Y416">
        <v>157.5</v>
      </c>
      <c r="Z416">
        <v>126.300003051758</v>
      </c>
      <c r="AA416">
        <v>21.799999237060501</v>
      </c>
    </row>
    <row r="417" spans="22:27" x14ac:dyDescent="0.25">
      <c r="V417">
        <v>1</v>
      </c>
      <c r="W417">
        <v>150</v>
      </c>
      <c r="X417">
        <v>150</v>
      </c>
      <c r="Y417">
        <v>157.5</v>
      </c>
      <c r="Z417">
        <v>126.300003051758</v>
      </c>
      <c r="AA417">
        <v>21.799999237060501</v>
      </c>
    </row>
    <row r="418" spans="22:27" x14ac:dyDescent="0.25">
      <c r="V418">
        <v>1</v>
      </c>
      <c r="W418">
        <v>150</v>
      </c>
      <c r="X418">
        <v>165</v>
      </c>
      <c r="Y418">
        <v>157.5</v>
      </c>
      <c r="Z418">
        <v>126.300003051758</v>
      </c>
      <c r="AA418">
        <v>23.700000762939499</v>
      </c>
    </row>
    <row r="419" spans="22:27" x14ac:dyDescent="0.25">
      <c r="V419">
        <v>1</v>
      </c>
      <c r="W419">
        <v>150</v>
      </c>
      <c r="X419">
        <v>165</v>
      </c>
      <c r="Y419">
        <v>165</v>
      </c>
      <c r="Z419">
        <v>132.39999389648401</v>
      </c>
      <c r="AA419">
        <v>23.700000762939499</v>
      </c>
    </row>
    <row r="420" spans="22:27" x14ac:dyDescent="0.25">
      <c r="V420">
        <v>1</v>
      </c>
      <c r="W420">
        <v>150</v>
      </c>
      <c r="X420">
        <v>165</v>
      </c>
      <c r="Y420">
        <v>165</v>
      </c>
      <c r="Z420">
        <v>132.39999389648401</v>
      </c>
      <c r="AA420">
        <v>23.700000762939499</v>
      </c>
    </row>
    <row r="421" spans="22:27" x14ac:dyDescent="0.25">
      <c r="V421">
        <v>1</v>
      </c>
      <c r="W421">
        <v>150</v>
      </c>
      <c r="X421">
        <v>165</v>
      </c>
      <c r="Y421">
        <v>157.5</v>
      </c>
      <c r="Z421">
        <v>126.300003051758</v>
      </c>
      <c r="AA421">
        <v>23.700000762939499</v>
      </c>
    </row>
    <row r="422" spans="22:27" x14ac:dyDescent="0.25">
      <c r="V422">
        <v>1</v>
      </c>
      <c r="W422">
        <v>150</v>
      </c>
      <c r="X422">
        <v>165</v>
      </c>
      <c r="Y422">
        <v>157.5</v>
      </c>
      <c r="Z422">
        <v>126.300003051758</v>
      </c>
      <c r="AA422">
        <v>23.700000762939499</v>
      </c>
    </row>
    <row r="423" spans="22:27" x14ac:dyDescent="0.25">
      <c r="V423">
        <v>1</v>
      </c>
      <c r="W423">
        <v>150</v>
      </c>
      <c r="X423">
        <v>175</v>
      </c>
      <c r="Y423">
        <v>157.5</v>
      </c>
      <c r="Z423">
        <v>126.300003051758</v>
      </c>
      <c r="AA423">
        <v>25</v>
      </c>
    </row>
    <row r="424" spans="22:27" x14ac:dyDescent="0.25">
      <c r="V424">
        <v>1</v>
      </c>
      <c r="W424">
        <v>150</v>
      </c>
      <c r="X424">
        <v>175</v>
      </c>
      <c r="Y424">
        <v>165</v>
      </c>
      <c r="Z424">
        <v>132.39999389648401</v>
      </c>
      <c r="AA424">
        <v>25</v>
      </c>
    </row>
    <row r="425" spans="22:27" x14ac:dyDescent="0.25">
      <c r="V425">
        <v>1</v>
      </c>
      <c r="W425">
        <v>150</v>
      </c>
      <c r="X425">
        <v>175</v>
      </c>
      <c r="Y425">
        <v>165</v>
      </c>
      <c r="Z425">
        <v>132.39999389648401</v>
      </c>
      <c r="AA425">
        <v>25</v>
      </c>
    </row>
    <row r="426" spans="22:27" x14ac:dyDescent="0.25">
      <c r="V426">
        <v>1</v>
      </c>
      <c r="W426">
        <v>150</v>
      </c>
      <c r="X426">
        <v>175</v>
      </c>
      <c r="Y426">
        <v>157.5</v>
      </c>
      <c r="Z426">
        <v>126.300003051758</v>
      </c>
      <c r="AA426">
        <v>25</v>
      </c>
    </row>
    <row r="427" spans="22:27" x14ac:dyDescent="0.25">
      <c r="V427">
        <v>1</v>
      </c>
      <c r="W427">
        <v>150</v>
      </c>
      <c r="X427">
        <v>175</v>
      </c>
      <c r="Y427">
        <v>157.5</v>
      </c>
      <c r="Z427">
        <v>126.300003051758</v>
      </c>
      <c r="AA427">
        <v>25</v>
      </c>
    </row>
    <row r="428" spans="22:27" x14ac:dyDescent="0.25">
      <c r="V428">
        <v>1</v>
      </c>
      <c r="W428">
        <v>150</v>
      </c>
      <c r="X428">
        <v>200</v>
      </c>
      <c r="Y428">
        <v>157.5</v>
      </c>
      <c r="Z428">
        <v>126.300003051758</v>
      </c>
      <c r="AA428">
        <v>28.700000762939499</v>
      </c>
    </row>
    <row r="429" spans="22:27" x14ac:dyDescent="0.25">
      <c r="V429">
        <v>1</v>
      </c>
      <c r="W429">
        <v>150</v>
      </c>
      <c r="X429">
        <v>200</v>
      </c>
      <c r="Y429">
        <v>165</v>
      </c>
      <c r="Z429">
        <v>132.39999389648401</v>
      </c>
      <c r="AA429">
        <v>28.700000762939499</v>
      </c>
    </row>
    <row r="430" spans="22:27" x14ac:dyDescent="0.25">
      <c r="V430">
        <v>1</v>
      </c>
      <c r="W430">
        <v>150</v>
      </c>
      <c r="X430">
        <v>200</v>
      </c>
      <c r="Y430">
        <v>165</v>
      </c>
      <c r="Z430">
        <v>132.39999389648401</v>
      </c>
      <c r="AA430">
        <v>28.700000762939499</v>
      </c>
    </row>
    <row r="431" spans="22:27" x14ac:dyDescent="0.25">
      <c r="V431">
        <v>1</v>
      </c>
      <c r="W431">
        <v>150</v>
      </c>
      <c r="X431">
        <v>200</v>
      </c>
      <c r="Y431">
        <v>157.5</v>
      </c>
      <c r="Z431">
        <v>126.300003051758</v>
      </c>
      <c r="AA431">
        <v>28.700000762939499</v>
      </c>
    </row>
    <row r="432" spans="22:27" x14ac:dyDescent="0.25">
      <c r="V432">
        <v>1</v>
      </c>
      <c r="W432">
        <v>150</v>
      </c>
      <c r="X432">
        <v>200</v>
      </c>
      <c r="Y432">
        <v>157.5</v>
      </c>
      <c r="Z432">
        <v>126.300003051758</v>
      </c>
      <c r="AA432">
        <v>28.700000762939499</v>
      </c>
    </row>
    <row r="433" spans="22:34" x14ac:dyDescent="0.25">
      <c r="V433">
        <v>1</v>
      </c>
      <c r="W433">
        <v>200</v>
      </c>
      <c r="X433">
        <v>100</v>
      </c>
      <c r="Y433">
        <v>210</v>
      </c>
      <c r="Z433">
        <v>166.5</v>
      </c>
      <c r="AA433">
        <v>17.299999237060501</v>
      </c>
    </row>
    <row r="434" spans="22:34" x14ac:dyDescent="0.25">
      <c r="V434">
        <v>1</v>
      </c>
      <c r="W434">
        <v>200</v>
      </c>
      <c r="X434">
        <v>100</v>
      </c>
      <c r="Y434">
        <v>220</v>
      </c>
      <c r="Z434">
        <v>174.39999389648401</v>
      </c>
      <c r="AA434">
        <v>17.299999237060501</v>
      </c>
    </row>
    <row r="435" spans="22:34" x14ac:dyDescent="0.25">
      <c r="V435">
        <v>1</v>
      </c>
      <c r="W435">
        <v>200</v>
      </c>
      <c r="X435">
        <v>100</v>
      </c>
      <c r="Y435">
        <v>220</v>
      </c>
      <c r="Z435">
        <v>174.39999389648401</v>
      </c>
      <c r="AA435">
        <v>17.299999237060501</v>
      </c>
    </row>
    <row r="436" spans="22:34" x14ac:dyDescent="0.25">
      <c r="V436">
        <v>1</v>
      </c>
      <c r="W436">
        <v>200</v>
      </c>
      <c r="X436">
        <v>100</v>
      </c>
      <c r="Y436">
        <v>210</v>
      </c>
      <c r="Z436">
        <v>166.5</v>
      </c>
      <c r="AA436">
        <v>17.299999237060501</v>
      </c>
    </row>
    <row r="437" spans="22:34" x14ac:dyDescent="0.25">
      <c r="V437">
        <v>1</v>
      </c>
      <c r="W437">
        <v>200</v>
      </c>
      <c r="X437">
        <v>100</v>
      </c>
      <c r="Y437">
        <v>210</v>
      </c>
      <c r="Z437">
        <v>166.5</v>
      </c>
      <c r="AA437">
        <v>17.299999237060501</v>
      </c>
    </row>
    <row r="438" spans="22:34" x14ac:dyDescent="0.25">
      <c r="V438">
        <v>1</v>
      </c>
      <c r="W438">
        <v>200</v>
      </c>
      <c r="X438">
        <v>110</v>
      </c>
      <c r="Y438">
        <v>210</v>
      </c>
      <c r="Z438">
        <v>166.5</v>
      </c>
      <c r="AA438">
        <v>17.700000762939499</v>
      </c>
    </row>
    <row r="439" spans="22:34" x14ac:dyDescent="0.25">
      <c r="V439">
        <v>1</v>
      </c>
      <c r="W439">
        <v>200</v>
      </c>
      <c r="X439">
        <v>110</v>
      </c>
      <c r="Y439">
        <v>220</v>
      </c>
      <c r="Z439">
        <v>174.39999389648401</v>
      </c>
      <c r="AA439">
        <v>17.700000762939499</v>
      </c>
    </row>
    <row r="440" spans="22:34" x14ac:dyDescent="0.25">
      <c r="V440">
        <v>1</v>
      </c>
      <c r="W440">
        <v>200</v>
      </c>
      <c r="X440">
        <v>110</v>
      </c>
      <c r="Y440">
        <v>220</v>
      </c>
      <c r="Z440">
        <v>174.39999389648401</v>
      </c>
      <c r="AA440">
        <v>17.700000762939499</v>
      </c>
    </row>
    <row r="441" spans="22:34" x14ac:dyDescent="0.25">
      <c r="V441">
        <v>1</v>
      </c>
      <c r="W441">
        <v>200</v>
      </c>
      <c r="X441">
        <v>110</v>
      </c>
      <c r="Y441">
        <v>210</v>
      </c>
      <c r="Z441">
        <v>166.5</v>
      </c>
      <c r="AA441">
        <v>17.700000762939499</v>
      </c>
    </row>
    <row r="442" spans="22:34" x14ac:dyDescent="0.25">
      <c r="V442">
        <v>1</v>
      </c>
      <c r="W442">
        <v>200</v>
      </c>
      <c r="X442">
        <v>110</v>
      </c>
      <c r="Y442">
        <v>210</v>
      </c>
      <c r="Z442">
        <v>166.5</v>
      </c>
      <c r="AA442">
        <v>17.700000762939499</v>
      </c>
    </row>
    <row r="443" spans="22:34" x14ac:dyDescent="0.25">
      <c r="V443">
        <v>1</v>
      </c>
      <c r="W443">
        <v>200</v>
      </c>
      <c r="X443">
        <v>115</v>
      </c>
      <c r="Y443">
        <v>210</v>
      </c>
      <c r="Z443">
        <v>166.5</v>
      </c>
      <c r="AA443">
        <v>18.700000762939499</v>
      </c>
    </row>
    <row r="444" spans="22:34" x14ac:dyDescent="0.25">
      <c r="V444">
        <v>1</v>
      </c>
      <c r="W444">
        <v>200</v>
      </c>
      <c r="X444">
        <v>115</v>
      </c>
      <c r="Y444">
        <v>220</v>
      </c>
      <c r="Z444">
        <v>174.39999389648401</v>
      </c>
      <c r="AA444">
        <v>18.700000762939499</v>
      </c>
    </row>
    <row r="445" spans="22:34" x14ac:dyDescent="0.25">
      <c r="V445">
        <v>1</v>
      </c>
      <c r="W445">
        <v>200</v>
      </c>
      <c r="X445">
        <v>115</v>
      </c>
      <c r="Y445">
        <v>220</v>
      </c>
      <c r="Z445">
        <v>174.39999389648401</v>
      </c>
      <c r="AA445">
        <v>18.700000762939499</v>
      </c>
      <c r="AC445">
        <v>1</v>
      </c>
      <c r="AD445">
        <v>200</v>
      </c>
      <c r="AE445">
        <v>18.700000762939499</v>
      </c>
      <c r="AF445">
        <v>115</v>
      </c>
      <c r="AG445">
        <v>210</v>
      </c>
      <c r="AH445">
        <v>166.5</v>
      </c>
    </row>
    <row r="446" spans="22:34" x14ac:dyDescent="0.25">
      <c r="V446">
        <v>1</v>
      </c>
      <c r="W446">
        <v>200</v>
      </c>
      <c r="X446">
        <v>115</v>
      </c>
      <c r="Y446">
        <v>210</v>
      </c>
      <c r="Z446">
        <v>166.5</v>
      </c>
      <c r="AA446">
        <v>18.700000762939499</v>
      </c>
      <c r="AC446">
        <v>1</v>
      </c>
      <c r="AD446">
        <v>200</v>
      </c>
      <c r="AE446">
        <v>18.700000762939499</v>
      </c>
      <c r="AF446">
        <v>115</v>
      </c>
      <c r="AG446">
        <v>220</v>
      </c>
      <c r="AH446">
        <v>174.39999389648401</v>
      </c>
    </row>
    <row r="447" spans="22:34" x14ac:dyDescent="0.25">
      <c r="V447">
        <v>1</v>
      </c>
      <c r="W447">
        <v>200</v>
      </c>
      <c r="X447">
        <v>115</v>
      </c>
      <c r="Y447">
        <v>210</v>
      </c>
      <c r="Z447">
        <v>166.5</v>
      </c>
      <c r="AA447">
        <v>18.700000762939499</v>
      </c>
      <c r="AC447">
        <v>1</v>
      </c>
      <c r="AD447">
        <v>200</v>
      </c>
      <c r="AE447">
        <v>18.700000762939499</v>
      </c>
      <c r="AF447">
        <v>115</v>
      </c>
      <c r="AG447">
        <v>220</v>
      </c>
      <c r="AH447">
        <v>174.39999389648401</v>
      </c>
    </row>
    <row r="448" spans="22:34" x14ac:dyDescent="0.25">
      <c r="V448">
        <v>1</v>
      </c>
      <c r="W448">
        <v>200</v>
      </c>
      <c r="X448">
        <v>125</v>
      </c>
      <c r="Y448">
        <v>210</v>
      </c>
      <c r="Z448">
        <v>166.5</v>
      </c>
      <c r="AA448">
        <v>19.5</v>
      </c>
      <c r="AC448">
        <v>1</v>
      </c>
      <c r="AD448">
        <v>200</v>
      </c>
      <c r="AE448">
        <v>18.700000762939499</v>
      </c>
      <c r="AF448">
        <v>115</v>
      </c>
      <c r="AG448">
        <v>210</v>
      </c>
      <c r="AH448">
        <v>166.5</v>
      </c>
    </row>
    <row r="449" spans="22:34" x14ac:dyDescent="0.25">
      <c r="V449">
        <v>1</v>
      </c>
      <c r="W449">
        <v>200</v>
      </c>
      <c r="X449">
        <v>125</v>
      </c>
      <c r="Y449">
        <v>220</v>
      </c>
      <c r="Z449">
        <v>174.39999389648401</v>
      </c>
      <c r="AA449">
        <v>19.5</v>
      </c>
      <c r="AC449">
        <v>1</v>
      </c>
      <c r="AD449">
        <v>200</v>
      </c>
      <c r="AE449">
        <v>18.700000762939499</v>
      </c>
      <c r="AF449">
        <v>115</v>
      </c>
      <c r="AG449">
        <v>210</v>
      </c>
      <c r="AH449">
        <v>166.5</v>
      </c>
    </row>
    <row r="450" spans="22:34" x14ac:dyDescent="0.25">
      <c r="V450">
        <v>1</v>
      </c>
      <c r="W450">
        <v>200</v>
      </c>
      <c r="X450">
        <v>125</v>
      </c>
      <c r="Y450">
        <v>220</v>
      </c>
      <c r="Z450">
        <v>174.39999389648401</v>
      </c>
      <c r="AA450">
        <v>19.5</v>
      </c>
    </row>
    <row r="451" spans="22:34" x14ac:dyDescent="0.25">
      <c r="V451">
        <v>1</v>
      </c>
      <c r="W451">
        <v>200</v>
      </c>
      <c r="X451">
        <v>125</v>
      </c>
      <c r="Y451">
        <v>210</v>
      </c>
      <c r="Z451">
        <v>166.5</v>
      </c>
      <c r="AA451">
        <v>19.5</v>
      </c>
    </row>
    <row r="452" spans="22:34" x14ac:dyDescent="0.25">
      <c r="V452">
        <v>1</v>
      </c>
      <c r="W452">
        <v>200</v>
      </c>
      <c r="X452">
        <v>125</v>
      </c>
      <c r="Y452">
        <v>210</v>
      </c>
      <c r="Z452">
        <v>166.5</v>
      </c>
      <c r="AA452">
        <v>19.5</v>
      </c>
    </row>
    <row r="453" spans="22:34" x14ac:dyDescent="0.25">
      <c r="V453">
        <v>1</v>
      </c>
      <c r="W453">
        <v>200</v>
      </c>
      <c r="X453">
        <v>140</v>
      </c>
      <c r="Y453">
        <v>210</v>
      </c>
      <c r="Z453">
        <v>166.5</v>
      </c>
      <c r="AA453">
        <v>21.5</v>
      </c>
    </row>
    <row r="454" spans="22:34" x14ac:dyDescent="0.25">
      <c r="V454">
        <v>1</v>
      </c>
      <c r="W454">
        <v>200</v>
      </c>
      <c r="X454">
        <v>140</v>
      </c>
      <c r="Y454">
        <v>220</v>
      </c>
      <c r="Z454">
        <v>174.39999389648401</v>
      </c>
      <c r="AA454">
        <v>21.5</v>
      </c>
    </row>
    <row r="455" spans="22:34" x14ac:dyDescent="0.25">
      <c r="V455">
        <v>1</v>
      </c>
      <c r="W455">
        <v>200</v>
      </c>
      <c r="X455">
        <v>140</v>
      </c>
      <c r="Y455">
        <v>220</v>
      </c>
      <c r="Z455">
        <v>174.39999389648401</v>
      </c>
      <c r="AA455">
        <v>21.5</v>
      </c>
    </row>
    <row r="456" spans="22:34" x14ac:dyDescent="0.25">
      <c r="V456">
        <v>1</v>
      </c>
      <c r="W456">
        <v>200</v>
      </c>
      <c r="X456">
        <v>140</v>
      </c>
      <c r="Y456">
        <v>210</v>
      </c>
      <c r="Z456">
        <v>166.5</v>
      </c>
      <c r="AA456">
        <v>21.5</v>
      </c>
    </row>
    <row r="457" spans="22:34" x14ac:dyDescent="0.25">
      <c r="V457">
        <v>1</v>
      </c>
      <c r="W457">
        <v>200</v>
      </c>
      <c r="X457">
        <v>140</v>
      </c>
      <c r="Y457">
        <v>210</v>
      </c>
      <c r="Z457">
        <v>166.5</v>
      </c>
      <c r="AA457">
        <v>21.5</v>
      </c>
    </row>
    <row r="458" spans="22:34" x14ac:dyDescent="0.25">
      <c r="V458">
        <v>1</v>
      </c>
      <c r="W458">
        <v>200</v>
      </c>
      <c r="X458">
        <v>150</v>
      </c>
      <c r="Y458">
        <v>210</v>
      </c>
      <c r="Z458">
        <v>166.5</v>
      </c>
      <c r="AA458">
        <v>21.799999237060501</v>
      </c>
    </row>
    <row r="459" spans="22:34" x14ac:dyDescent="0.25">
      <c r="V459">
        <v>1</v>
      </c>
      <c r="W459">
        <v>200</v>
      </c>
      <c r="X459">
        <v>150</v>
      </c>
      <c r="Y459">
        <v>220</v>
      </c>
      <c r="Z459">
        <v>174.39999389648401</v>
      </c>
      <c r="AA459">
        <v>21.799999237060501</v>
      </c>
    </row>
    <row r="460" spans="22:34" x14ac:dyDescent="0.25">
      <c r="V460">
        <v>1</v>
      </c>
      <c r="W460">
        <v>200</v>
      </c>
      <c r="X460">
        <v>150</v>
      </c>
      <c r="Y460">
        <v>220</v>
      </c>
      <c r="Z460">
        <v>174.39999389648401</v>
      </c>
      <c r="AA460">
        <v>21.799999237060501</v>
      </c>
    </row>
    <row r="461" spans="22:34" x14ac:dyDescent="0.25">
      <c r="V461">
        <v>1</v>
      </c>
      <c r="W461">
        <v>200</v>
      </c>
      <c r="X461">
        <v>150</v>
      </c>
      <c r="Y461">
        <v>210</v>
      </c>
      <c r="Z461">
        <v>166.5</v>
      </c>
      <c r="AA461">
        <v>21.799999237060501</v>
      </c>
    </row>
    <row r="462" spans="22:34" x14ac:dyDescent="0.25">
      <c r="V462">
        <v>1</v>
      </c>
      <c r="W462">
        <v>200</v>
      </c>
      <c r="X462">
        <v>150</v>
      </c>
      <c r="Y462">
        <v>210</v>
      </c>
      <c r="Z462">
        <v>166.5</v>
      </c>
      <c r="AA462">
        <v>21.799999237060501</v>
      </c>
    </row>
    <row r="463" spans="22:34" x14ac:dyDescent="0.25">
      <c r="V463">
        <v>1</v>
      </c>
      <c r="W463">
        <v>200</v>
      </c>
      <c r="X463">
        <v>165</v>
      </c>
      <c r="Y463">
        <v>210</v>
      </c>
      <c r="Z463">
        <v>166.5</v>
      </c>
      <c r="AA463">
        <v>23.600000381469702</v>
      </c>
    </row>
    <row r="464" spans="22:34" x14ac:dyDescent="0.25">
      <c r="V464">
        <v>1</v>
      </c>
      <c r="W464">
        <v>200</v>
      </c>
      <c r="X464">
        <v>165</v>
      </c>
      <c r="Y464">
        <v>220</v>
      </c>
      <c r="Z464">
        <v>174.39999389648401</v>
      </c>
      <c r="AA464">
        <v>23.600000381469702</v>
      </c>
    </row>
    <row r="465" spans="22:27" x14ac:dyDescent="0.25">
      <c r="V465">
        <v>1</v>
      </c>
      <c r="W465">
        <v>200</v>
      </c>
      <c r="X465">
        <v>165</v>
      </c>
      <c r="Y465">
        <v>220</v>
      </c>
      <c r="Z465">
        <v>174.39999389648401</v>
      </c>
      <c r="AA465">
        <v>23.600000381469702</v>
      </c>
    </row>
    <row r="466" spans="22:27" x14ac:dyDescent="0.25">
      <c r="V466">
        <v>1</v>
      </c>
      <c r="W466">
        <v>200</v>
      </c>
      <c r="X466">
        <v>165</v>
      </c>
      <c r="Y466">
        <v>210</v>
      </c>
      <c r="Z466">
        <v>166.5</v>
      </c>
      <c r="AA466">
        <v>23.600000381469702</v>
      </c>
    </row>
    <row r="467" spans="22:27" x14ac:dyDescent="0.25">
      <c r="V467">
        <v>1</v>
      </c>
      <c r="W467">
        <v>200</v>
      </c>
      <c r="X467">
        <v>165</v>
      </c>
      <c r="Y467">
        <v>210</v>
      </c>
      <c r="Z467">
        <v>166.5</v>
      </c>
      <c r="AA467">
        <v>23.600000381469702</v>
      </c>
    </row>
    <row r="468" spans="22:27" x14ac:dyDescent="0.25">
      <c r="V468">
        <v>1</v>
      </c>
      <c r="W468">
        <v>200</v>
      </c>
      <c r="X468">
        <v>200</v>
      </c>
      <c r="Y468">
        <v>210</v>
      </c>
      <c r="Z468">
        <v>166.5</v>
      </c>
      <c r="AA468">
        <v>27.399999618530298</v>
      </c>
    </row>
    <row r="469" spans="22:27" x14ac:dyDescent="0.25">
      <c r="V469">
        <v>1</v>
      </c>
      <c r="W469">
        <v>200</v>
      </c>
      <c r="X469">
        <v>200</v>
      </c>
      <c r="Y469">
        <v>220</v>
      </c>
      <c r="Z469">
        <v>174.39999389648401</v>
      </c>
      <c r="AA469">
        <v>27.399999618530298</v>
      </c>
    </row>
    <row r="470" spans="22:27" x14ac:dyDescent="0.25">
      <c r="V470">
        <v>1</v>
      </c>
      <c r="W470">
        <v>200</v>
      </c>
      <c r="X470">
        <v>200</v>
      </c>
      <c r="Y470">
        <v>220</v>
      </c>
      <c r="Z470">
        <v>174.39999389648401</v>
      </c>
      <c r="AA470">
        <v>27.399999618530298</v>
      </c>
    </row>
    <row r="471" spans="22:27" x14ac:dyDescent="0.25">
      <c r="V471">
        <v>1</v>
      </c>
      <c r="W471">
        <v>200</v>
      </c>
      <c r="X471">
        <v>200</v>
      </c>
      <c r="Y471">
        <v>210</v>
      </c>
      <c r="Z471">
        <v>166.5</v>
      </c>
      <c r="AA471">
        <v>27.399999618530298</v>
      </c>
    </row>
    <row r="472" spans="22:27" x14ac:dyDescent="0.25">
      <c r="V472">
        <v>1</v>
      </c>
      <c r="W472">
        <v>200</v>
      </c>
      <c r="X472">
        <v>200</v>
      </c>
      <c r="Y472">
        <v>210</v>
      </c>
      <c r="Z472">
        <v>166.5</v>
      </c>
      <c r="AA472">
        <v>27.399999618530298</v>
      </c>
    </row>
    <row r="473" spans="22:27" x14ac:dyDescent="0.25">
      <c r="V473">
        <v>1</v>
      </c>
      <c r="W473">
        <v>250</v>
      </c>
      <c r="X473">
        <v>100</v>
      </c>
      <c r="Y473">
        <v>262.5</v>
      </c>
      <c r="Z473">
        <v>209.19999694824199</v>
      </c>
      <c r="AA473">
        <v>17.399999618530298</v>
      </c>
    </row>
    <row r="474" spans="22:27" x14ac:dyDescent="0.25">
      <c r="V474">
        <v>1</v>
      </c>
      <c r="W474">
        <v>250</v>
      </c>
      <c r="X474">
        <v>100</v>
      </c>
      <c r="Y474">
        <v>275</v>
      </c>
      <c r="Z474">
        <v>219.19999694824199</v>
      </c>
      <c r="AA474">
        <v>17.399999618530298</v>
      </c>
    </row>
    <row r="475" spans="22:27" x14ac:dyDescent="0.25">
      <c r="V475">
        <v>1</v>
      </c>
      <c r="W475">
        <v>250</v>
      </c>
      <c r="X475">
        <v>100</v>
      </c>
      <c r="Y475">
        <v>275</v>
      </c>
      <c r="Z475">
        <v>219.19999694824199</v>
      </c>
      <c r="AA475">
        <v>17.399999618530298</v>
      </c>
    </row>
    <row r="476" spans="22:27" x14ac:dyDescent="0.25">
      <c r="V476">
        <v>1</v>
      </c>
      <c r="W476">
        <v>250</v>
      </c>
      <c r="X476">
        <v>100</v>
      </c>
      <c r="Y476">
        <v>262.5</v>
      </c>
      <c r="Z476">
        <v>209.19999694824199</v>
      </c>
      <c r="AA476">
        <v>17.399999618530298</v>
      </c>
    </row>
    <row r="477" spans="22:27" x14ac:dyDescent="0.25">
      <c r="V477">
        <v>1</v>
      </c>
      <c r="W477">
        <v>250</v>
      </c>
      <c r="X477">
        <v>100</v>
      </c>
      <c r="Y477">
        <v>262.5</v>
      </c>
      <c r="Z477">
        <v>209.19999694824199</v>
      </c>
      <c r="AA477">
        <v>17.399999618530298</v>
      </c>
    </row>
    <row r="478" spans="22:27" x14ac:dyDescent="0.25">
      <c r="V478">
        <v>1</v>
      </c>
      <c r="W478">
        <v>250</v>
      </c>
      <c r="X478">
        <v>110</v>
      </c>
      <c r="Y478">
        <v>262.5</v>
      </c>
      <c r="Z478">
        <v>209.19999694824199</v>
      </c>
      <c r="AA478">
        <v>17.700000762939499</v>
      </c>
    </row>
    <row r="479" spans="22:27" x14ac:dyDescent="0.25">
      <c r="V479">
        <v>1</v>
      </c>
      <c r="W479">
        <v>250</v>
      </c>
      <c r="X479">
        <v>110</v>
      </c>
      <c r="Y479">
        <v>275</v>
      </c>
      <c r="Z479">
        <v>219.19999694824199</v>
      </c>
      <c r="AA479">
        <v>17.700000762939499</v>
      </c>
    </row>
    <row r="480" spans="22:27" x14ac:dyDescent="0.25">
      <c r="V480">
        <v>1</v>
      </c>
      <c r="W480">
        <v>250</v>
      </c>
      <c r="X480">
        <v>110</v>
      </c>
      <c r="Y480">
        <v>275</v>
      </c>
      <c r="Z480">
        <v>219.19999694824199</v>
      </c>
      <c r="AA480">
        <v>17.700000762939499</v>
      </c>
    </row>
    <row r="481" spans="22:34" x14ac:dyDescent="0.25">
      <c r="V481">
        <v>1</v>
      </c>
      <c r="W481">
        <v>250</v>
      </c>
      <c r="X481">
        <v>110</v>
      </c>
      <c r="Y481">
        <v>262.5</v>
      </c>
      <c r="Z481">
        <v>209.19999694824199</v>
      </c>
      <c r="AA481">
        <v>17.700000762939499</v>
      </c>
    </row>
    <row r="482" spans="22:34" x14ac:dyDescent="0.25">
      <c r="V482">
        <v>1</v>
      </c>
      <c r="W482">
        <v>250</v>
      </c>
      <c r="X482">
        <v>110</v>
      </c>
      <c r="Y482">
        <v>262.5</v>
      </c>
      <c r="Z482">
        <v>209.19999694824199</v>
      </c>
      <c r="AA482">
        <v>17.700000762939499</v>
      </c>
    </row>
    <row r="483" spans="22:34" x14ac:dyDescent="0.25">
      <c r="V483">
        <v>1</v>
      </c>
      <c r="W483">
        <v>250</v>
      </c>
      <c r="X483">
        <v>115</v>
      </c>
      <c r="Y483">
        <v>262.5</v>
      </c>
      <c r="Z483">
        <v>209.19999694824199</v>
      </c>
      <c r="AA483">
        <v>19.200000762939499</v>
      </c>
    </row>
    <row r="484" spans="22:34" x14ac:dyDescent="0.25">
      <c r="V484">
        <v>1</v>
      </c>
      <c r="W484">
        <v>250</v>
      </c>
      <c r="X484">
        <v>115</v>
      </c>
      <c r="Y484">
        <v>275</v>
      </c>
      <c r="Z484">
        <v>219.19999694824199</v>
      </c>
      <c r="AA484">
        <v>19.200000762939499</v>
      </c>
    </row>
    <row r="485" spans="22:34" x14ac:dyDescent="0.25">
      <c r="V485">
        <v>1</v>
      </c>
      <c r="W485">
        <v>250</v>
      </c>
      <c r="X485">
        <v>115</v>
      </c>
      <c r="Y485">
        <v>275</v>
      </c>
      <c r="Z485">
        <v>219.19999694824199</v>
      </c>
      <c r="AA485">
        <v>19.200000762939499</v>
      </c>
      <c r="AC485">
        <v>1</v>
      </c>
      <c r="AD485">
        <v>250</v>
      </c>
      <c r="AE485">
        <v>19.200000762939499</v>
      </c>
      <c r="AF485">
        <v>115</v>
      </c>
      <c r="AG485">
        <v>262.5</v>
      </c>
      <c r="AH485">
        <v>209.19999694824199</v>
      </c>
    </row>
    <row r="486" spans="22:34" x14ac:dyDescent="0.25">
      <c r="V486">
        <v>1</v>
      </c>
      <c r="W486">
        <v>250</v>
      </c>
      <c r="X486">
        <v>115</v>
      </c>
      <c r="Y486">
        <v>262.5</v>
      </c>
      <c r="Z486">
        <v>209.19999694824199</v>
      </c>
      <c r="AA486">
        <v>19.200000762939499</v>
      </c>
      <c r="AC486">
        <v>1</v>
      </c>
      <c r="AD486">
        <v>250</v>
      </c>
      <c r="AE486">
        <v>19.200000762939499</v>
      </c>
      <c r="AF486">
        <v>115</v>
      </c>
      <c r="AG486">
        <v>275</v>
      </c>
      <c r="AH486">
        <v>219.19999694824199</v>
      </c>
    </row>
    <row r="487" spans="22:34" x14ac:dyDescent="0.25">
      <c r="V487">
        <v>1</v>
      </c>
      <c r="W487">
        <v>250</v>
      </c>
      <c r="X487">
        <v>115</v>
      </c>
      <c r="Y487">
        <v>262.5</v>
      </c>
      <c r="Z487">
        <v>209.19999694824199</v>
      </c>
      <c r="AA487">
        <v>19.200000762939499</v>
      </c>
      <c r="AC487">
        <v>1</v>
      </c>
      <c r="AD487">
        <v>250</v>
      </c>
      <c r="AE487">
        <v>19.200000762939499</v>
      </c>
      <c r="AF487">
        <v>115</v>
      </c>
      <c r="AG487">
        <v>275</v>
      </c>
      <c r="AH487">
        <v>219.19999694824199</v>
      </c>
    </row>
    <row r="488" spans="22:34" x14ac:dyDescent="0.25">
      <c r="V488">
        <v>1</v>
      </c>
      <c r="W488">
        <v>250</v>
      </c>
      <c r="X488">
        <v>125</v>
      </c>
      <c r="Y488">
        <v>262.5</v>
      </c>
      <c r="Z488">
        <v>209.19999694824199</v>
      </c>
      <c r="AA488">
        <v>19.5</v>
      </c>
      <c r="AC488">
        <v>1</v>
      </c>
      <c r="AD488">
        <v>250</v>
      </c>
      <c r="AE488">
        <v>19.200000762939499</v>
      </c>
      <c r="AF488">
        <v>115</v>
      </c>
      <c r="AG488">
        <v>262.5</v>
      </c>
      <c r="AH488">
        <v>209.19999694824199</v>
      </c>
    </row>
    <row r="489" spans="22:34" x14ac:dyDescent="0.25">
      <c r="V489">
        <v>1</v>
      </c>
      <c r="W489">
        <v>250</v>
      </c>
      <c r="X489">
        <v>125</v>
      </c>
      <c r="Y489">
        <v>275</v>
      </c>
      <c r="Z489">
        <v>219.19999694824199</v>
      </c>
      <c r="AA489">
        <v>19.5</v>
      </c>
      <c r="AC489">
        <v>1</v>
      </c>
      <c r="AD489">
        <v>250</v>
      </c>
      <c r="AE489">
        <v>19.200000762939499</v>
      </c>
      <c r="AF489">
        <v>115</v>
      </c>
      <c r="AG489">
        <v>262.5</v>
      </c>
      <c r="AH489">
        <v>209.19999694824199</v>
      </c>
    </row>
    <row r="490" spans="22:34" x14ac:dyDescent="0.25">
      <c r="V490">
        <v>1</v>
      </c>
      <c r="W490">
        <v>250</v>
      </c>
      <c r="X490">
        <v>125</v>
      </c>
      <c r="Y490">
        <v>275</v>
      </c>
      <c r="Z490">
        <v>219.19999694824199</v>
      </c>
      <c r="AA490">
        <v>19.5</v>
      </c>
    </row>
    <row r="491" spans="22:34" x14ac:dyDescent="0.25">
      <c r="V491">
        <v>1</v>
      </c>
      <c r="W491">
        <v>250</v>
      </c>
      <c r="X491">
        <v>125</v>
      </c>
      <c r="Y491">
        <v>262.5</v>
      </c>
      <c r="Z491">
        <v>209.19999694824199</v>
      </c>
      <c r="AA491">
        <v>19.5</v>
      </c>
    </row>
    <row r="492" spans="22:34" x14ac:dyDescent="0.25">
      <c r="V492">
        <v>1</v>
      </c>
      <c r="W492">
        <v>250</v>
      </c>
      <c r="X492">
        <v>125</v>
      </c>
      <c r="Y492">
        <v>262.5</v>
      </c>
      <c r="Z492">
        <v>209.19999694824199</v>
      </c>
      <c r="AA492">
        <v>19.5</v>
      </c>
    </row>
    <row r="493" spans="22:34" x14ac:dyDescent="0.25">
      <c r="V493">
        <v>1</v>
      </c>
      <c r="W493">
        <v>250</v>
      </c>
      <c r="X493">
        <v>140</v>
      </c>
      <c r="Y493">
        <v>262.5</v>
      </c>
      <c r="Z493">
        <v>209.19999694824199</v>
      </c>
      <c r="AA493">
        <v>22.399999618530298</v>
      </c>
    </row>
    <row r="494" spans="22:34" x14ac:dyDescent="0.25">
      <c r="V494">
        <v>1</v>
      </c>
      <c r="W494">
        <v>250</v>
      </c>
      <c r="X494">
        <v>140</v>
      </c>
      <c r="Y494">
        <v>275</v>
      </c>
      <c r="Z494">
        <v>219.19999694824199</v>
      </c>
      <c r="AA494">
        <v>22.399999618530298</v>
      </c>
    </row>
    <row r="495" spans="22:34" x14ac:dyDescent="0.25">
      <c r="V495">
        <v>1</v>
      </c>
      <c r="W495">
        <v>250</v>
      </c>
      <c r="X495">
        <v>140</v>
      </c>
      <c r="Y495">
        <v>275</v>
      </c>
      <c r="Z495">
        <v>219.19999694824199</v>
      </c>
      <c r="AA495">
        <v>22.399999618530298</v>
      </c>
    </row>
    <row r="496" spans="22:34" x14ac:dyDescent="0.25">
      <c r="V496">
        <v>1</v>
      </c>
      <c r="W496">
        <v>250</v>
      </c>
      <c r="X496">
        <v>140</v>
      </c>
      <c r="Y496">
        <v>262.5</v>
      </c>
      <c r="Z496">
        <v>209.19999694824199</v>
      </c>
      <c r="AA496">
        <v>22.399999618530298</v>
      </c>
    </row>
    <row r="497" spans="22:27" x14ac:dyDescent="0.25">
      <c r="V497">
        <v>1</v>
      </c>
      <c r="W497">
        <v>250</v>
      </c>
      <c r="X497">
        <v>140</v>
      </c>
      <c r="Y497">
        <v>262.5</v>
      </c>
      <c r="Z497">
        <v>209.19999694824199</v>
      </c>
      <c r="AA497">
        <v>22.399999618530298</v>
      </c>
    </row>
    <row r="498" spans="22:27" x14ac:dyDescent="0.25">
      <c r="V498">
        <v>1</v>
      </c>
      <c r="W498">
        <v>250</v>
      </c>
      <c r="X498">
        <v>150</v>
      </c>
      <c r="Y498">
        <v>262.5</v>
      </c>
      <c r="Z498">
        <v>209.19999694824199</v>
      </c>
      <c r="AA498">
        <v>21.799999237060501</v>
      </c>
    </row>
    <row r="499" spans="22:27" x14ac:dyDescent="0.25">
      <c r="V499">
        <v>1</v>
      </c>
      <c r="W499">
        <v>250</v>
      </c>
      <c r="X499">
        <v>150</v>
      </c>
      <c r="Y499">
        <v>275</v>
      </c>
      <c r="Z499">
        <v>219.19999694824199</v>
      </c>
      <c r="AA499">
        <v>21.799999237060501</v>
      </c>
    </row>
    <row r="500" spans="22:27" x14ac:dyDescent="0.25">
      <c r="V500">
        <v>1</v>
      </c>
      <c r="W500">
        <v>250</v>
      </c>
      <c r="X500">
        <v>150</v>
      </c>
      <c r="Y500">
        <v>275</v>
      </c>
      <c r="Z500">
        <v>219.19999694824199</v>
      </c>
      <c r="AA500">
        <v>21.799999237060501</v>
      </c>
    </row>
    <row r="501" spans="22:27" x14ac:dyDescent="0.25">
      <c r="V501">
        <v>1</v>
      </c>
      <c r="W501">
        <v>250</v>
      </c>
      <c r="X501">
        <v>150</v>
      </c>
      <c r="Y501">
        <v>262.5</v>
      </c>
      <c r="Z501">
        <v>209.19999694824199</v>
      </c>
      <c r="AA501">
        <v>21.799999237060501</v>
      </c>
    </row>
    <row r="502" spans="22:27" x14ac:dyDescent="0.25">
      <c r="V502">
        <v>1</v>
      </c>
      <c r="W502">
        <v>250</v>
      </c>
      <c r="X502">
        <v>150</v>
      </c>
      <c r="Y502">
        <v>262.5</v>
      </c>
      <c r="Z502">
        <v>209.19999694824199</v>
      </c>
      <c r="AA502">
        <v>21.799999237060501</v>
      </c>
    </row>
    <row r="503" spans="22:27" x14ac:dyDescent="0.25">
      <c r="V503">
        <v>1</v>
      </c>
      <c r="W503">
        <v>250</v>
      </c>
      <c r="X503">
        <v>165</v>
      </c>
      <c r="Y503">
        <v>262.5</v>
      </c>
      <c r="Z503">
        <v>209.19999694824199</v>
      </c>
      <c r="AA503">
        <v>25.399999618530298</v>
      </c>
    </row>
    <row r="504" spans="22:27" x14ac:dyDescent="0.25">
      <c r="V504">
        <v>1</v>
      </c>
      <c r="W504">
        <v>250</v>
      </c>
      <c r="X504">
        <v>165</v>
      </c>
      <c r="Y504">
        <v>275</v>
      </c>
      <c r="Z504">
        <v>219.19999694824199</v>
      </c>
      <c r="AA504">
        <v>25.399999618530298</v>
      </c>
    </row>
    <row r="505" spans="22:27" x14ac:dyDescent="0.25">
      <c r="V505">
        <v>1</v>
      </c>
      <c r="W505">
        <v>250</v>
      </c>
      <c r="X505">
        <v>165</v>
      </c>
      <c r="Y505">
        <v>275</v>
      </c>
      <c r="Z505">
        <v>219.19999694824199</v>
      </c>
      <c r="AA505">
        <v>25.399999618530298</v>
      </c>
    </row>
    <row r="506" spans="22:27" x14ac:dyDescent="0.25">
      <c r="V506">
        <v>1</v>
      </c>
      <c r="W506">
        <v>250</v>
      </c>
      <c r="X506">
        <v>165</v>
      </c>
      <c r="Y506">
        <v>262.5</v>
      </c>
      <c r="Z506">
        <v>209.19999694824199</v>
      </c>
      <c r="AA506">
        <v>25.399999618530298</v>
      </c>
    </row>
    <row r="507" spans="22:27" x14ac:dyDescent="0.25">
      <c r="V507">
        <v>1</v>
      </c>
      <c r="W507">
        <v>250</v>
      </c>
      <c r="X507">
        <v>165</v>
      </c>
      <c r="Y507">
        <v>262.5</v>
      </c>
      <c r="Z507">
        <v>209.19999694824199</v>
      </c>
      <c r="AA507">
        <v>25.399999618530298</v>
      </c>
    </row>
    <row r="508" spans="22:27" x14ac:dyDescent="0.25">
      <c r="V508">
        <v>1</v>
      </c>
      <c r="W508">
        <v>300</v>
      </c>
      <c r="X508">
        <v>100</v>
      </c>
      <c r="Y508">
        <v>315</v>
      </c>
      <c r="Z508">
        <v>249.69999694824199</v>
      </c>
      <c r="AA508">
        <v>17.600000381469702</v>
      </c>
    </row>
    <row r="509" spans="22:27" x14ac:dyDescent="0.25">
      <c r="V509">
        <v>1</v>
      </c>
      <c r="W509">
        <v>300</v>
      </c>
      <c r="X509">
        <v>100</v>
      </c>
      <c r="Y509">
        <v>330</v>
      </c>
      <c r="Z509">
        <v>261.60000610351602</v>
      </c>
      <c r="AA509">
        <v>17.600000381469702</v>
      </c>
    </row>
    <row r="510" spans="22:27" x14ac:dyDescent="0.25">
      <c r="V510">
        <v>1</v>
      </c>
      <c r="W510">
        <v>300</v>
      </c>
      <c r="X510">
        <v>100</v>
      </c>
      <c r="Y510">
        <v>330</v>
      </c>
      <c r="Z510">
        <v>261.60000610351602</v>
      </c>
      <c r="AA510">
        <v>17.600000381469702</v>
      </c>
    </row>
    <row r="511" spans="22:27" x14ac:dyDescent="0.25">
      <c r="V511">
        <v>1</v>
      </c>
      <c r="W511">
        <v>300</v>
      </c>
      <c r="X511">
        <v>100</v>
      </c>
      <c r="Y511">
        <v>315</v>
      </c>
      <c r="Z511">
        <v>249.69999694824199</v>
      </c>
      <c r="AA511">
        <v>17.600000381469702</v>
      </c>
    </row>
    <row r="512" spans="22:27" x14ac:dyDescent="0.25">
      <c r="V512">
        <v>1</v>
      </c>
      <c r="W512">
        <v>300</v>
      </c>
      <c r="X512">
        <v>100</v>
      </c>
      <c r="Y512">
        <v>315</v>
      </c>
      <c r="Z512">
        <v>249.69999694824199</v>
      </c>
      <c r="AA512">
        <v>17.600000381469702</v>
      </c>
    </row>
    <row r="513" spans="22:34" x14ac:dyDescent="0.25">
      <c r="V513">
        <v>1</v>
      </c>
      <c r="W513">
        <v>300</v>
      </c>
      <c r="X513">
        <v>110</v>
      </c>
      <c r="Y513">
        <v>315</v>
      </c>
      <c r="Z513">
        <v>249.69999694824199</v>
      </c>
      <c r="AA513">
        <v>17.700000762939499</v>
      </c>
    </row>
    <row r="514" spans="22:34" x14ac:dyDescent="0.25">
      <c r="V514">
        <v>1</v>
      </c>
      <c r="W514">
        <v>300</v>
      </c>
      <c r="X514">
        <v>110</v>
      </c>
      <c r="Y514">
        <v>330</v>
      </c>
      <c r="Z514">
        <v>261.60000610351602</v>
      </c>
      <c r="AA514">
        <v>17.700000762939499</v>
      </c>
    </row>
    <row r="515" spans="22:34" x14ac:dyDescent="0.25">
      <c r="V515">
        <v>1</v>
      </c>
      <c r="W515">
        <v>300</v>
      </c>
      <c r="X515">
        <v>110</v>
      </c>
      <c r="Y515">
        <v>330</v>
      </c>
      <c r="Z515">
        <v>261.60000610351602</v>
      </c>
      <c r="AA515">
        <v>17.700000762939499</v>
      </c>
    </row>
    <row r="516" spans="22:34" x14ac:dyDescent="0.25">
      <c r="V516">
        <v>1</v>
      </c>
      <c r="W516">
        <v>300</v>
      </c>
      <c r="X516">
        <v>110</v>
      </c>
      <c r="Y516">
        <v>315</v>
      </c>
      <c r="Z516">
        <v>249.69999694824199</v>
      </c>
      <c r="AA516">
        <v>17.700000762939499</v>
      </c>
    </row>
    <row r="517" spans="22:34" x14ac:dyDescent="0.25">
      <c r="V517">
        <v>1</v>
      </c>
      <c r="W517">
        <v>300</v>
      </c>
      <c r="X517">
        <v>110</v>
      </c>
      <c r="Y517">
        <v>315</v>
      </c>
      <c r="Z517">
        <v>249.69999694824199</v>
      </c>
      <c r="AA517">
        <v>17.700000762939499</v>
      </c>
    </row>
    <row r="518" spans="22:34" x14ac:dyDescent="0.25">
      <c r="V518">
        <v>1</v>
      </c>
      <c r="W518">
        <v>300</v>
      </c>
      <c r="X518">
        <v>115</v>
      </c>
      <c r="Y518">
        <v>315</v>
      </c>
      <c r="Z518">
        <v>249.69999694824199</v>
      </c>
      <c r="AA518">
        <v>19.100000381469702</v>
      </c>
    </row>
    <row r="519" spans="22:34" x14ac:dyDescent="0.25">
      <c r="V519">
        <v>1</v>
      </c>
      <c r="W519">
        <v>300</v>
      </c>
      <c r="X519">
        <v>115</v>
      </c>
      <c r="Y519">
        <v>330</v>
      </c>
      <c r="Z519">
        <v>261.60000610351602</v>
      </c>
      <c r="AA519">
        <v>19.100000381469702</v>
      </c>
    </row>
    <row r="520" spans="22:34" x14ac:dyDescent="0.25">
      <c r="V520">
        <v>1</v>
      </c>
      <c r="W520">
        <v>300</v>
      </c>
      <c r="X520">
        <v>115</v>
      </c>
      <c r="Y520">
        <v>330</v>
      </c>
      <c r="Z520">
        <v>261.60000610351602</v>
      </c>
      <c r="AA520">
        <v>19.100000381469702</v>
      </c>
      <c r="AC520">
        <v>1</v>
      </c>
      <c r="AD520">
        <v>300</v>
      </c>
      <c r="AE520">
        <v>19.100000381469702</v>
      </c>
      <c r="AF520">
        <v>115</v>
      </c>
      <c r="AG520">
        <v>315</v>
      </c>
      <c r="AH520">
        <v>249.69999694824199</v>
      </c>
    </row>
    <row r="521" spans="22:34" x14ac:dyDescent="0.25">
      <c r="V521">
        <v>1</v>
      </c>
      <c r="W521">
        <v>300</v>
      </c>
      <c r="X521">
        <v>115</v>
      </c>
      <c r="Y521">
        <v>315</v>
      </c>
      <c r="Z521">
        <v>249.69999694824199</v>
      </c>
      <c r="AA521">
        <v>19.100000381469702</v>
      </c>
      <c r="AC521">
        <v>1</v>
      </c>
      <c r="AD521">
        <v>300</v>
      </c>
      <c r="AE521">
        <v>19.100000381469702</v>
      </c>
      <c r="AF521">
        <v>115</v>
      </c>
      <c r="AG521">
        <v>330</v>
      </c>
      <c r="AH521">
        <v>261.60000610351602</v>
      </c>
    </row>
    <row r="522" spans="22:34" x14ac:dyDescent="0.25">
      <c r="V522">
        <v>1</v>
      </c>
      <c r="W522">
        <v>300</v>
      </c>
      <c r="X522">
        <v>115</v>
      </c>
      <c r="Y522">
        <v>315</v>
      </c>
      <c r="Z522">
        <v>249.69999694824199</v>
      </c>
      <c r="AA522">
        <v>19.100000381469702</v>
      </c>
      <c r="AC522">
        <v>1</v>
      </c>
      <c r="AD522">
        <v>300</v>
      </c>
      <c r="AE522">
        <v>19.100000381469702</v>
      </c>
      <c r="AF522">
        <v>115</v>
      </c>
      <c r="AG522">
        <v>330</v>
      </c>
      <c r="AH522">
        <v>261.60000610351602</v>
      </c>
    </row>
    <row r="523" spans="22:34" x14ac:dyDescent="0.25">
      <c r="V523">
        <v>1</v>
      </c>
      <c r="W523">
        <v>300</v>
      </c>
      <c r="X523">
        <v>125</v>
      </c>
      <c r="Y523">
        <v>315</v>
      </c>
      <c r="Z523">
        <v>249.69999694824199</v>
      </c>
      <c r="AA523">
        <v>19.799999237060501</v>
      </c>
      <c r="AC523">
        <v>1</v>
      </c>
      <c r="AD523">
        <v>300</v>
      </c>
      <c r="AE523">
        <v>19.100000381469702</v>
      </c>
      <c r="AF523">
        <v>115</v>
      </c>
      <c r="AG523">
        <v>315</v>
      </c>
      <c r="AH523">
        <v>249.69999694824199</v>
      </c>
    </row>
    <row r="524" spans="22:34" x14ac:dyDescent="0.25">
      <c r="V524">
        <v>1</v>
      </c>
      <c r="W524">
        <v>300</v>
      </c>
      <c r="X524">
        <v>125</v>
      </c>
      <c r="Y524">
        <v>330</v>
      </c>
      <c r="Z524">
        <v>261.60000610351602</v>
      </c>
      <c r="AA524">
        <v>19.799999237060501</v>
      </c>
      <c r="AC524">
        <v>1</v>
      </c>
      <c r="AD524">
        <v>300</v>
      </c>
      <c r="AE524">
        <v>19.100000381469702</v>
      </c>
      <c r="AF524">
        <v>115</v>
      </c>
      <c r="AG524">
        <v>315</v>
      </c>
      <c r="AH524">
        <v>249.69999694824199</v>
      </c>
    </row>
    <row r="525" spans="22:34" x14ac:dyDescent="0.25">
      <c r="V525">
        <v>1</v>
      </c>
      <c r="W525">
        <v>300</v>
      </c>
      <c r="X525">
        <v>125</v>
      </c>
      <c r="Y525">
        <v>330</v>
      </c>
      <c r="Z525">
        <v>261.60000610351602</v>
      </c>
      <c r="AA525">
        <v>19.799999237060501</v>
      </c>
    </row>
    <row r="526" spans="22:34" x14ac:dyDescent="0.25">
      <c r="V526">
        <v>1</v>
      </c>
      <c r="W526">
        <v>300</v>
      </c>
      <c r="X526">
        <v>125</v>
      </c>
      <c r="Y526">
        <v>315</v>
      </c>
      <c r="Z526">
        <v>249.69999694824199</v>
      </c>
      <c r="AA526">
        <v>19.799999237060501</v>
      </c>
    </row>
    <row r="527" spans="22:34" x14ac:dyDescent="0.25">
      <c r="V527">
        <v>1</v>
      </c>
      <c r="W527">
        <v>300</v>
      </c>
      <c r="X527">
        <v>125</v>
      </c>
      <c r="Y527">
        <v>315</v>
      </c>
      <c r="Z527">
        <v>249.69999694824199</v>
      </c>
      <c r="AA527">
        <v>19.799999237060501</v>
      </c>
    </row>
    <row r="528" spans="22:34" x14ac:dyDescent="0.25">
      <c r="V528">
        <v>1</v>
      </c>
      <c r="W528">
        <v>300</v>
      </c>
      <c r="X528">
        <v>140</v>
      </c>
      <c r="Y528">
        <v>315</v>
      </c>
      <c r="Z528">
        <v>249.69999694824199</v>
      </c>
      <c r="AA528">
        <v>22.700000762939499</v>
      </c>
    </row>
    <row r="529" spans="22:27" x14ac:dyDescent="0.25">
      <c r="V529">
        <v>1</v>
      </c>
      <c r="W529">
        <v>300</v>
      </c>
      <c r="X529">
        <v>140</v>
      </c>
      <c r="Y529">
        <v>330</v>
      </c>
      <c r="Z529">
        <v>261.60000610351602</v>
      </c>
      <c r="AA529">
        <v>22.700000762939499</v>
      </c>
    </row>
    <row r="530" spans="22:27" x14ac:dyDescent="0.25">
      <c r="V530">
        <v>1</v>
      </c>
      <c r="W530">
        <v>300</v>
      </c>
      <c r="X530">
        <v>140</v>
      </c>
      <c r="Y530">
        <v>330</v>
      </c>
      <c r="Z530">
        <v>261.60000610351602</v>
      </c>
      <c r="AA530">
        <v>22.700000762939499</v>
      </c>
    </row>
    <row r="531" spans="22:27" x14ac:dyDescent="0.25">
      <c r="V531">
        <v>1</v>
      </c>
      <c r="W531">
        <v>300</v>
      </c>
      <c r="X531">
        <v>140</v>
      </c>
      <c r="Y531">
        <v>315</v>
      </c>
      <c r="Z531">
        <v>249.69999694824199</v>
      </c>
      <c r="AA531">
        <v>22.700000762939499</v>
      </c>
    </row>
    <row r="532" spans="22:27" x14ac:dyDescent="0.25">
      <c r="V532">
        <v>1</v>
      </c>
      <c r="W532">
        <v>300</v>
      </c>
      <c r="X532">
        <v>140</v>
      </c>
      <c r="Y532">
        <v>315</v>
      </c>
      <c r="Z532">
        <v>249.69999694824199</v>
      </c>
      <c r="AA532">
        <v>22.700000762939499</v>
      </c>
    </row>
    <row r="533" spans="22:27" x14ac:dyDescent="0.25">
      <c r="V533">
        <v>1</v>
      </c>
      <c r="W533">
        <v>300</v>
      </c>
      <c r="X533">
        <v>150</v>
      </c>
      <c r="Y533">
        <v>315</v>
      </c>
      <c r="Z533">
        <v>249.69999694824199</v>
      </c>
      <c r="AA533">
        <v>22</v>
      </c>
    </row>
    <row r="534" spans="22:27" x14ac:dyDescent="0.25">
      <c r="V534">
        <v>1</v>
      </c>
      <c r="W534">
        <v>300</v>
      </c>
      <c r="X534">
        <v>150</v>
      </c>
      <c r="Y534">
        <v>330</v>
      </c>
      <c r="Z534">
        <v>261.60000610351602</v>
      </c>
      <c r="AA534">
        <v>22</v>
      </c>
    </row>
    <row r="535" spans="22:27" x14ac:dyDescent="0.25">
      <c r="V535">
        <v>1</v>
      </c>
      <c r="W535">
        <v>300</v>
      </c>
      <c r="X535">
        <v>150</v>
      </c>
      <c r="Y535">
        <v>330</v>
      </c>
      <c r="Z535">
        <v>261.60000610351602</v>
      </c>
      <c r="AA535">
        <v>22</v>
      </c>
    </row>
    <row r="536" spans="22:27" x14ac:dyDescent="0.25">
      <c r="V536">
        <v>1</v>
      </c>
      <c r="W536">
        <v>300</v>
      </c>
      <c r="X536">
        <v>150</v>
      </c>
      <c r="Y536">
        <v>315</v>
      </c>
      <c r="Z536">
        <v>249.69999694824199</v>
      </c>
      <c r="AA536">
        <v>22</v>
      </c>
    </row>
    <row r="537" spans="22:27" x14ac:dyDescent="0.25">
      <c r="V537">
        <v>1</v>
      </c>
      <c r="W537">
        <v>300</v>
      </c>
      <c r="X537">
        <v>150</v>
      </c>
      <c r="Y537">
        <v>315</v>
      </c>
      <c r="Z537">
        <v>249.69999694824199</v>
      </c>
      <c r="AA537">
        <v>22</v>
      </c>
    </row>
    <row r="538" spans="22:27" x14ac:dyDescent="0.25">
      <c r="V538">
        <v>1</v>
      </c>
      <c r="W538">
        <v>300</v>
      </c>
      <c r="X538">
        <v>200</v>
      </c>
      <c r="Y538">
        <v>315</v>
      </c>
      <c r="Z538">
        <v>249.69999694824199</v>
      </c>
      <c r="AA538">
        <v>26.899999618530298</v>
      </c>
    </row>
    <row r="539" spans="22:27" x14ac:dyDescent="0.25">
      <c r="V539">
        <v>1</v>
      </c>
      <c r="W539">
        <v>300</v>
      </c>
      <c r="X539">
        <v>200</v>
      </c>
      <c r="Y539">
        <v>330</v>
      </c>
      <c r="Z539">
        <v>261.60000610351602</v>
      </c>
      <c r="AA539">
        <v>26.899999618530298</v>
      </c>
    </row>
    <row r="540" spans="22:27" x14ac:dyDescent="0.25">
      <c r="V540">
        <v>1</v>
      </c>
      <c r="W540">
        <v>300</v>
      </c>
      <c r="X540">
        <v>200</v>
      </c>
      <c r="Y540">
        <v>330</v>
      </c>
      <c r="Z540">
        <v>261.60000610351602</v>
      </c>
      <c r="AA540">
        <v>26.899999618530298</v>
      </c>
    </row>
    <row r="541" spans="22:27" x14ac:dyDescent="0.25">
      <c r="V541">
        <v>1</v>
      </c>
      <c r="W541">
        <v>300</v>
      </c>
      <c r="X541">
        <v>200</v>
      </c>
      <c r="Y541">
        <v>315</v>
      </c>
      <c r="Z541">
        <v>249.69999694824199</v>
      </c>
      <c r="AA541">
        <v>26.899999618530298</v>
      </c>
    </row>
    <row r="542" spans="22:27" x14ac:dyDescent="0.25">
      <c r="V542">
        <v>1</v>
      </c>
      <c r="W542">
        <v>300</v>
      </c>
      <c r="X542">
        <v>200</v>
      </c>
      <c r="Y542">
        <v>315</v>
      </c>
      <c r="Z542">
        <v>249.69999694824199</v>
      </c>
      <c r="AA542">
        <v>26.899999618530298</v>
      </c>
    </row>
    <row r="543" spans="22:27" x14ac:dyDescent="0.25">
      <c r="V543">
        <v>1</v>
      </c>
      <c r="W543">
        <v>350</v>
      </c>
      <c r="X543">
        <v>100</v>
      </c>
      <c r="Y543">
        <v>367.5</v>
      </c>
      <c r="Z543">
        <v>290.10000610351602</v>
      </c>
      <c r="AA543">
        <v>17.200000762939499</v>
      </c>
    </row>
    <row r="544" spans="22:27" x14ac:dyDescent="0.25">
      <c r="V544">
        <v>1</v>
      </c>
      <c r="W544">
        <v>350</v>
      </c>
      <c r="X544">
        <v>100</v>
      </c>
      <c r="Y544">
        <v>385</v>
      </c>
      <c r="Z544">
        <v>303.89999389648398</v>
      </c>
      <c r="AA544">
        <v>17.200000762939499</v>
      </c>
    </row>
    <row r="545" spans="22:34" x14ac:dyDescent="0.25">
      <c r="V545">
        <v>1</v>
      </c>
      <c r="W545">
        <v>350</v>
      </c>
      <c r="X545">
        <v>100</v>
      </c>
      <c r="Y545">
        <v>385</v>
      </c>
      <c r="Z545">
        <v>303.89999389648398</v>
      </c>
      <c r="AA545">
        <v>17.200000762939499</v>
      </c>
    </row>
    <row r="546" spans="22:34" x14ac:dyDescent="0.25">
      <c r="V546">
        <v>1</v>
      </c>
      <c r="W546">
        <v>350</v>
      </c>
      <c r="X546">
        <v>100</v>
      </c>
      <c r="Y546">
        <v>367.5</v>
      </c>
      <c r="Z546">
        <v>290.10000610351602</v>
      </c>
      <c r="AA546">
        <v>17.200000762939499</v>
      </c>
    </row>
    <row r="547" spans="22:34" x14ac:dyDescent="0.25">
      <c r="V547">
        <v>1</v>
      </c>
      <c r="W547">
        <v>350</v>
      </c>
      <c r="X547">
        <v>100</v>
      </c>
      <c r="Y547">
        <v>367.5</v>
      </c>
      <c r="Z547">
        <v>290.10000610351602</v>
      </c>
      <c r="AA547">
        <v>17.200000762939499</v>
      </c>
    </row>
    <row r="548" spans="22:34" x14ac:dyDescent="0.25">
      <c r="V548">
        <v>1</v>
      </c>
      <c r="W548">
        <v>350</v>
      </c>
      <c r="X548">
        <v>115</v>
      </c>
      <c r="Y548">
        <v>367.5</v>
      </c>
      <c r="Z548">
        <v>290.10000610351602</v>
      </c>
      <c r="AA548">
        <v>18.600000381469702</v>
      </c>
    </row>
    <row r="549" spans="22:34" x14ac:dyDescent="0.25">
      <c r="V549">
        <v>1</v>
      </c>
      <c r="W549">
        <v>350</v>
      </c>
      <c r="X549">
        <v>115</v>
      </c>
      <c r="Y549">
        <v>385</v>
      </c>
      <c r="Z549">
        <v>303.89999389648398</v>
      </c>
      <c r="AA549">
        <v>18.600000381469702</v>
      </c>
    </row>
    <row r="550" spans="22:34" x14ac:dyDescent="0.25">
      <c r="V550">
        <v>1</v>
      </c>
      <c r="W550">
        <v>350</v>
      </c>
      <c r="X550">
        <v>115</v>
      </c>
      <c r="Y550">
        <v>385</v>
      </c>
      <c r="Z550">
        <v>303.89999389648398</v>
      </c>
      <c r="AA550">
        <v>18.600000381469702</v>
      </c>
      <c r="AC550">
        <v>1</v>
      </c>
      <c r="AD550">
        <v>350</v>
      </c>
      <c r="AE550">
        <v>18.600000381469702</v>
      </c>
      <c r="AF550">
        <v>115</v>
      </c>
      <c r="AG550">
        <v>367.5</v>
      </c>
      <c r="AH550">
        <v>290.10000610351602</v>
      </c>
    </row>
    <row r="551" spans="22:34" x14ac:dyDescent="0.25">
      <c r="V551">
        <v>1</v>
      </c>
      <c r="W551">
        <v>350</v>
      </c>
      <c r="X551">
        <v>115</v>
      </c>
      <c r="Y551">
        <v>367.5</v>
      </c>
      <c r="Z551">
        <v>290.10000610351602</v>
      </c>
      <c r="AA551">
        <v>18.600000381469702</v>
      </c>
      <c r="AC551">
        <v>1</v>
      </c>
      <c r="AD551">
        <v>350</v>
      </c>
      <c r="AE551">
        <v>18.600000381469702</v>
      </c>
      <c r="AF551">
        <v>115</v>
      </c>
      <c r="AG551">
        <v>385</v>
      </c>
      <c r="AH551">
        <v>303.89999389648398</v>
      </c>
    </row>
    <row r="552" spans="22:34" x14ac:dyDescent="0.25">
      <c r="V552">
        <v>1</v>
      </c>
      <c r="W552">
        <v>350</v>
      </c>
      <c r="X552">
        <v>115</v>
      </c>
      <c r="Y552">
        <v>367.5</v>
      </c>
      <c r="Z552">
        <v>290.10000610351602</v>
      </c>
      <c r="AA552">
        <v>18.600000381469702</v>
      </c>
      <c r="AC552">
        <v>1</v>
      </c>
      <c r="AD552">
        <v>350</v>
      </c>
      <c r="AE552">
        <v>18.600000381469702</v>
      </c>
      <c r="AF552">
        <v>115</v>
      </c>
      <c r="AG552">
        <v>385</v>
      </c>
      <c r="AH552">
        <v>303.89999389648398</v>
      </c>
    </row>
    <row r="553" spans="22:34" x14ac:dyDescent="0.25">
      <c r="V553">
        <v>1</v>
      </c>
      <c r="W553">
        <v>350</v>
      </c>
      <c r="X553">
        <v>125</v>
      </c>
      <c r="Y553">
        <v>367.5</v>
      </c>
      <c r="Z553">
        <v>290.10000610351602</v>
      </c>
      <c r="AA553">
        <v>19.299999237060501</v>
      </c>
      <c r="AC553">
        <v>1</v>
      </c>
      <c r="AD553">
        <v>350</v>
      </c>
      <c r="AE553">
        <v>18.600000381469702</v>
      </c>
      <c r="AF553">
        <v>115</v>
      </c>
      <c r="AG553">
        <v>367.5</v>
      </c>
      <c r="AH553">
        <v>290.10000610351602</v>
      </c>
    </row>
    <row r="554" spans="22:34" x14ac:dyDescent="0.25">
      <c r="V554">
        <v>1</v>
      </c>
      <c r="W554">
        <v>350</v>
      </c>
      <c r="X554">
        <v>125</v>
      </c>
      <c r="Y554">
        <v>385</v>
      </c>
      <c r="Z554">
        <v>303.89999389648398</v>
      </c>
      <c r="AA554">
        <v>19.299999237060501</v>
      </c>
      <c r="AC554">
        <v>1</v>
      </c>
      <c r="AD554">
        <v>350</v>
      </c>
      <c r="AE554">
        <v>18.600000381469702</v>
      </c>
      <c r="AF554">
        <v>115</v>
      </c>
      <c r="AG554">
        <v>367.5</v>
      </c>
      <c r="AH554">
        <v>290.10000610351602</v>
      </c>
    </row>
    <row r="555" spans="22:34" x14ac:dyDescent="0.25">
      <c r="V555">
        <v>1</v>
      </c>
      <c r="W555">
        <v>350</v>
      </c>
      <c r="X555">
        <v>125</v>
      </c>
      <c r="Y555">
        <v>385</v>
      </c>
      <c r="Z555">
        <v>303.89999389648398</v>
      </c>
      <c r="AA555">
        <v>19.299999237060501</v>
      </c>
    </row>
    <row r="556" spans="22:34" x14ac:dyDescent="0.25">
      <c r="V556">
        <v>1</v>
      </c>
      <c r="W556">
        <v>350</v>
      </c>
      <c r="X556">
        <v>125</v>
      </c>
      <c r="Y556">
        <v>367.5</v>
      </c>
      <c r="Z556">
        <v>290.10000610351602</v>
      </c>
      <c r="AA556">
        <v>19.299999237060501</v>
      </c>
    </row>
    <row r="557" spans="22:34" x14ac:dyDescent="0.25">
      <c r="V557">
        <v>1</v>
      </c>
      <c r="W557">
        <v>350</v>
      </c>
      <c r="X557">
        <v>125</v>
      </c>
      <c r="Y557">
        <v>367.5</v>
      </c>
      <c r="Z557">
        <v>290.10000610351602</v>
      </c>
      <c r="AA557">
        <v>19.299999237060501</v>
      </c>
    </row>
    <row r="558" spans="22:34" x14ac:dyDescent="0.25">
      <c r="V558">
        <v>1</v>
      </c>
      <c r="W558">
        <v>350</v>
      </c>
      <c r="X558">
        <v>140</v>
      </c>
      <c r="Y558">
        <v>367.5</v>
      </c>
      <c r="Z558">
        <v>290.10000610351602</v>
      </c>
      <c r="AA558">
        <v>20.899999618530298</v>
      </c>
    </row>
    <row r="559" spans="22:34" x14ac:dyDescent="0.25">
      <c r="V559">
        <v>1</v>
      </c>
      <c r="W559">
        <v>350</v>
      </c>
      <c r="X559">
        <v>140</v>
      </c>
      <c r="Y559">
        <v>385</v>
      </c>
      <c r="Z559">
        <v>303.89999389648398</v>
      </c>
      <c r="AA559">
        <v>20.899999618530298</v>
      </c>
    </row>
    <row r="560" spans="22:34" x14ac:dyDescent="0.25">
      <c r="V560">
        <v>1</v>
      </c>
      <c r="W560">
        <v>350</v>
      </c>
      <c r="X560">
        <v>140</v>
      </c>
      <c r="Y560">
        <v>385</v>
      </c>
      <c r="Z560">
        <v>303.89999389648398</v>
      </c>
      <c r="AA560">
        <v>20.899999618530298</v>
      </c>
    </row>
    <row r="561" spans="22:27" x14ac:dyDescent="0.25">
      <c r="V561">
        <v>1</v>
      </c>
      <c r="W561">
        <v>350</v>
      </c>
      <c r="X561">
        <v>140</v>
      </c>
      <c r="Y561">
        <v>367.5</v>
      </c>
      <c r="Z561">
        <v>290.10000610351602</v>
      </c>
      <c r="AA561">
        <v>20.899999618530298</v>
      </c>
    </row>
    <row r="562" spans="22:27" x14ac:dyDescent="0.25">
      <c r="V562">
        <v>1</v>
      </c>
      <c r="W562">
        <v>350</v>
      </c>
      <c r="X562">
        <v>140</v>
      </c>
      <c r="Y562">
        <v>367.5</v>
      </c>
      <c r="Z562">
        <v>290.10000610351602</v>
      </c>
      <c r="AA562">
        <v>20.899999618530298</v>
      </c>
    </row>
    <row r="563" spans="22:27" x14ac:dyDescent="0.25">
      <c r="V563">
        <v>1</v>
      </c>
      <c r="W563">
        <v>350</v>
      </c>
      <c r="X563">
        <v>150</v>
      </c>
      <c r="Y563">
        <v>367.5</v>
      </c>
      <c r="Z563">
        <v>290.10000610351602</v>
      </c>
      <c r="AA563">
        <v>23.299999237060501</v>
      </c>
    </row>
    <row r="564" spans="22:27" x14ac:dyDescent="0.25">
      <c r="V564">
        <v>1</v>
      </c>
      <c r="W564">
        <v>350</v>
      </c>
      <c r="X564">
        <v>150</v>
      </c>
      <c r="Y564">
        <v>385</v>
      </c>
      <c r="Z564">
        <v>303.89999389648398</v>
      </c>
      <c r="AA564">
        <v>23.299999237060501</v>
      </c>
    </row>
    <row r="565" spans="22:27" x14ac:dyDescent="0.25">
      <c r="V565">
        <v>1</v>
      </c>
      <c r="W565">
        <v>350</v>
      </c>
      <c r="X565">
        <v>150</v>
      </c>
      <c r="Y565">
        <v>385</v>
      </c>
      <c r="Z565">
        <v>303.89999389648398</v>
      </c>
      <c r="AA565">
        <v>23.299999237060501</v>
      </c>
    </row>
    <row r="566" spans="22:27" x14ac:dyDescent="0.25">
      <c r="V566">
        <v>1</v>
      </c>
      <c r="W566">
        <v>350</v>
      </c>
      <c r="X566">
        <v>150</v>
      </c>
      <c r="Y566">
        <v>367.5</v>
      </c>
      <c r="Z566">
        <v>290.10000610351602</v>
      </c>
      <c r="AA566">
        <v>23.299999237060501</v>
      </c>
    </row>
    <row r="567" spans="22:27" x14ac:dyDescent="0.25">
      <c r="V567">
        <v>1</v>
      </c>
      <c r="W567">
        <v>350</v>
      </c>
      <c r="X567">
        <v>150</v>
      </c>
      <c r="Y567">
        <v>367.5</v>
      </c>
      <c r="Z567">
        <v>290.10000610351602</v>
      </c>
      <c r="AA567">
        <v>23.299999237060501</v>
      </c>
    </row>
    <row r="568" spans="22:27" x14ac:dyDescent="0.25">
      <c r="V568">
        <v>1</v>
      </c>
      <c r="W568">
        <v>350</v>
      </c>
      <c r="X568">
        <v>200</v>
      </c>
      <c r="Y568">
        <v>367.5</v>
      </c>
      <c r="Z568">
        <v>290.10000610351602</v>
      </c>
      <c r="AA568">
        <v>27.799999237060501</v>
      </c>
    </row>
    <row r="569" spans="22:27" x14ac:dyDescent="0.25">
      <c r="V569">
        <v>1</v>
      </c>
      <c r="W569">
        <v>350</v>
      </c>
      <c r="X569">
        <v>200</v>
      </c>
      <c r="Y569">
        <v>385</v>
      </c>
      <c r="Z569">
        <v>303.89999389648398</v>
      </c>
      <c r="AA569">
        <v>27.799999237060501</v>
      </c>
    </row>
    <row r="570" spans="22:27" x14ac:dyDescent="0.25">
      <c r="V570">
        <v>1</v>
      </c>
      <c r="W570">
        <v>350</v>
      </c>
      <c r="X570">
        <v>200</v>
      </c>
      <c r="Y570">
        <v>385</v>
      </c>
      <c r="Z570">
        <v>303.89999389648398</v>
      </c>
      <c r="AA570">
        <v>27.799999237060501</v>
      </c>
    </row>
    <row r="571" spans="22:27" x14ac:dyDescent="0.25">
      <c r="V571">
        <v>1</v>
      </c>
      <c r="W571">
        <v>350</v>
      </c>
      <c r="X571">
        <v>200</v>
      </c>
      <c r="Y571">
        <v>367.5</v>
      </c>
      <c r="Z571">
        <v>290.10000610351602</v>
      </c>
      <c r="AA571">
        <v>27.799999237060501</v>
      </c>
    </row>
    <row r="572" spans="22:27" x14ac:dyDescent="0.25">
      <c r="V572">
        <v>1</v>
      </c>
      <c r="W572">
        <v>350</v>
      </c>
      <c r="X572">
        <v>200</v>
      </c>
      <c r="Y572">
        <v>367.5</v>
      </c>
      <c r="Z572">
        <v>290.10000610351602</v>
      </c>
      <c r="AA572">
        <v>27.799999237060501</v>
      </c>
    </row>
    <row r="573" spans="22:27" x14ac:dyDescent="0.25">
      <c r="V573">
        <v>1</v>
      </c>
      <c r="W573">
        <v>400</v>
      </c>
      <c r="X573">
        <v>100</v>
      </c>
      <c r="Y573">
        <v>420</v>
      </c>
      <c r="Z573">
        <v>331.60000610351602</v>
      </c>
      <c r="AA573">
        <v>17.5</v>
      </c>
    </row>
    <row r="574" spans="22:27" x14ac:dyDescent="0.25">
      <c r="V574">
        <v>1</v>
      </c>
      <c r="W574">
        <v>400</v>
      </c>
      <c r="X574">
        <v>100</v>
      </c>
      <c r="Y574">
        <v>440</v>
      </c>
      <c r="Z574">
        <v>347.29998779296898</v>
      </c>
      <c r="AA574">
        <v>17.5</v>
      </c>
    </row>
    <row r="575" spans="22:27" x14ac:dyDescent="0.25">
      <c r="V575">
        <v>1</v>
      </c>
      <c r="W575">
        <v>400</v>
      </c>
      <c r="X575">
        <v>100</v>
      </c>
      <c r="Y575">
        <v>440</v>
      </c>
      <c r="Z575">
        <v>347.29998779296898</v>
      </c>
      <c r="AA575">
        <v>17.5</v>
      </c>
    </row>
    <row r="576" spans="22:27" x14ac:dyDescent="0.25">
      <c r="V576">
        <v>1</v>
      </c>
      <c r="W576">
        <v>400</v>
      </c>
      <c r="X576">
        <v>100</v>
      </c>
      <c r="Y576">
        <v>420</v>
      </c>
      <c r="Z576">
        <v>331.60000610351602</v>
      </c>
      <c r="AA576">
        <v>17.5</v>
      </c>
    </row>
    <row r="577" spans="22:27" x14ac:dyDescent="0.25">
      <c r="V577">
        <v>1</v>
      </c>
      <c r="W577">
        <v>400</v>
      </c>
      <c r="X577">
        <v>100</v>
      </c>
      <c r="Y577">
        <v>420</v>
      </c>
      <c r="Z577">
        <v>331.60000610351602</v>
      </c>
      <c r="AA577">
        <v>17.5</v>
      </c>
    </row>
    <row r="578" spans="22:27" x14ac:dyDescent="0.25">
      <c r="V578">
        <v>1</v>
      </c>
      <c r="W578">
        <v>400</v>
      </c>
      <c r="X578">
        <v>125</v>
      </c>
      <c r="Y578">
        <v>420</v>
      </c>
      <c r="Z578">
        <v>331.60000610351602</v>
      </c>
      <c r="AA578">
        <v>19.899999618530298</v>
      </c>
    </row>
    <row r="579" spans="22:27" x14ac:dyDescent="0.25">
      <c r="V579">
        <v>1</v>
      </c>
      <c r="W579">
        <v>400</v>
      </c>
      <c r="X579">
        <v>125</v>
      </c>
      <c r="Y579">
        <v>440</v>
      </c>
      <c r="Z579">
        <v>347.29998779296898</v>
      </c>
      <c r="AA579">
        <v>19.899999618530298</v>
      </c>
    </row>
    <row r="580" spans="22:27" x14ac:dyDescent="0.25">
      <c r="V580">
        <v>1</v>
      </c>
      <c r="W580">
        <v>400</v>
      </c>
      <c r="X580">
        <v>125</v>
      </c>
      <c r="Y580">
        <v>440</v>
      </c>
      <c r="Z580">
        <v>347.29998779296898</v>
      </c>
      <c r="AA580">
        <v>19.899999618530298</v>
      </c>
    </row>
    <row r="581" spans="22:27" x14ac:dyDescent="0.25">
      <c r="V581">
        <v>1</v>
      </c>
      <c r="W581">
        <v>400</v>
      </c>
      <c r="X581">
        <v>125</v>
      </c>
      <c r="Y581">
        <v>420</v>
      </c>
      <c r="Z581">
        <v>331.60000610351602</v>
      </c>
      <c r="AA581">
        <v>19.899999618530298</v>
      </c>
    </row>
    <row r="582" spans="22:27" x14ac:dyDescent="0.25">
      <c r="V582">
        <v>1</v>
      </c>
      <c r="W582">
        <v>400</v>
      </c>
      <c r="X582">
        <v>125</v>
      </c>
      <c r="Y582">
        <v>420</v>
      </c>
      <c r="Z582">
        <v>331.60000610351602</v>
      </c>
      <c r="AA582">
        <v>19.899999618530298</v>
      </c>
    </row>
    <row r="583" spans="22:27" x14ac:dyDescent="0.25">
      <c r="V583">
        <v>1</v>
      </c>
      <c r="W583">
        <v>400</v>
      </c>
      <c r="X583">
        <v>140</v>
      </c>
      <c r="Y583">
        <v>420</v>
      </c>
      <c r="Z583">
        <v>331.60000610351602</v>
      </c>
      <c r="AA583">
        <v>21.299999237060501</v>
      </c>
    </row>
    <row r="584" spans="22:27" x14ac:dyDescent="0.25">
      <c r="V584">
        <v>1</v>
      </c>
      <c r="W584">
        <v>400</v>
      </c>
      <c r="X584">
        <v>140</v>
      </c>
      <c r="Y584">
        <v>440</v>
      </c>
      <c r="Z584">
        <v>347.29998779296898</v>
      </c>
      <c r="AA584">
        <v>21.299999237060501</v>
      </c>
    </row>
    <row r="585" spans="22:27" x14ac:dyDescent="0.25">
      <c r="V585">
        <v>1</v>
      </c>
      <c r="W585">
        <v>400</v>
      </c>
      <c r="X585">
        <v>140</v>
      </c>
      <c r="Y585">
        <v>440</v>
      </c>
      <c r="Z585">
        <v>347.29998779296898</v>
      </c>
      <c r="AA585">
        <v>21.299999237060501</v>
      </c>
    </row>
    <row r="586" spans="22:27" x14ac:dyDescent="0.25">
      <c r="V586">
        <v>1</v>
      </c>
      <c r="W586">
        <v>400</v>
      </c>
      <c r="X586">
        <v>140</v>
      </c>
      <c r="Y586">
        <v>420</v>
      </c>
      <c r="Z586">
        <v>331.60000610351602</v>
      </c>
      <c r="AA586">
        <v>21.299999237060501</v>
      </c>
    </row>
    <row r="587" spans="22:27" x14ac:dyDescent="0.25">
      <c r="V587">
        <v>1</v>
      </c>
      <c r="W587">
        <v>400</v>
      </c>
      <c r="X587">
        <v>140</v>
      </c>
      <c r="Y587">
        <v>420</v>
      </c>
      <c r="Z587">
        <v>331.60000610351602</v>
      </c>
      <c r="AA587">
        <v>21.299999237060501</v>
      </c>
    </row>
    <row r="588" spans="22:27" x14ac:dyDescent="0.25">
      <c r="V588">
        <v>1</v>
      </c>
      <c r="W588">
        <v>400</v>
      </c>
      <c r="X588">
        <v>150</v>
      </c>
      <c r="Y588">
        <v>420</v>
      </c>
      <c r="Z588">
        <v>331.60000610351602</v>
      </c>
      <c r="AA588">
        <v>23.200000762939499</v>
      </c>
    </row>
    <row r="589" spans="22:27" x14ac:dyDescent="0.25">
      <c r="V589">
        <v>1</v>
      </c>
      <c r="W589">
        <v>400</v>
      </c>
      <c r="X589">
        <v>150</v>
      </c>
      <c r="Y589">
        <v>440</v>
      </c>
      <c r="Z589">
        <v>347.29998779296898</v>
      </c>
      <c r="AA589">
        <v>23.200000762939499</v>
      </c>
    </row>
    <row r="590" spans="22:27" x14ac:dyDescent="0.25">
      <c r="V590">
        <v>1</v>
      </c>
      <c r="W590">
        <v>400</v>
      </c>
      <c r="X590">
        <v>150</v>
      </c>
      <c r="Y590">
        <v>440</v>
      </c>
      <c r="Z590">
        <v>347.29998779296898</v>
      </c>
      <c r="AA590">
        <v>23.200000762939499</v>
      </c>
    </row>
    <row r="591" spans="22:27" x14ac:dyDescent="0.25">
      <c r="V591">
        <v>1</v>
      </c>
      <c r="W591">
        <v>400</v>
      </c>
      <c r="X591">
        <v>150</v>
      </c>
      <c r="Y591">
        <v>420</v>
      </c>
      <c r="Z591">
        <v>331.60000610351602</v>
      </c>
      <c r="AA591">
        <v>23.200000762939499</v>
      </c>
    </row>
    <row r="592" spans="22:27" x14ac:dyDescent="0.25">
      <c r="V592">
        <v>1</v>
      </c>
      <c r="W592">
        <v>400</v>
      </c>
      <c r="X592">
        <v>150</v>
      </c>
      <c r="Y592">
        <v>420</v>
      </c>
      <c r="Z592">
        <v>331.60000610351602</v>
      </c>
      <c r="AA592">
        <v>23.200000762939499</v>
      </c>
    </row>
    <row r="593" spans="22:34" x14ac:dyDescent="0.25">
      <c r="V593">
        <v>1</v>
      </c>
      <c r="W593">
        <v>450</v>
      </c>
      <c r="X593">
        <v>100</v>
      </c>
      <c r="Y593">
        <v>472.5</v>
      </c>
      <c r="Z593">
        <v>371</v>
      </c>
      <c r="AA593">
        <v>19</v>
      </c>
    </row>
    <row r="594" spans="22:34" x14ac:dyDescent="0.25">
      <c r="V594">
        <v>1</v>
      </c>
      <c r="W594">
        <v>450</v>
      </c>
      <c r="X594">
        <v>100</v>
      </c>
      <c r="Y594">
        <v>495</v>
      </c>
      <c r="Z594">
        <v>388.70001220703102</v>
      </c>
      <c r="AA594">
        <v>19</v>
      </c>
    </row>
    <row r="595" spans="22:34" x14ac:dyDescent="0.25">
      <c r="V595">
        <v>1</v>
      </c>
      <c r="W595">
        <v>450</v>
      </c>
      <c r="X595">
        <v>100</v>
      </c>
      <c r="Y595">
        <v>495</v>
      </c>
      <c r="Z595">
        <v>388.70001220703102</v>
      </c>
      <c r="AA595">
        <v>19</v>
      </c>
    </row>
    <row r="596" spans="22:34" x14ac:dyDescent="0.25">
      <c r="V596">
        <v>1</v>
      </c>
      <c r="W596">
        <v>450</v>
      </c>
      <c r="X596">
        <v>100</v>
      </c>
      <c r="Y596">
        <v>472.5</v>
      </c>
      <c r="Z596">
        <v>371</v>
      </c>
      <c r="AA596">
        <v>19</v>
      </c>
    </row>
    <row r="597" spans="22:34" x14ac:dyDescent="0.25">
      <c r="V597">
        <v>1</v>
      </c>
      <c r="W597">
        <v>450</v>
      </c>
      <c r="X597">
        <v>100</v>
      </c>
      <c r="Y597">
        <v>472.5</v>
      </c>
      <c r="Z597">
        <v>371</v>
      </c>
      <c r="AA597">
        <v>19</v>
      </c>
    </row>
    <row r="598" spans="22:34" x14ac:dyDescent="0.25">
      <c r="V598">
        <v>1</v>
      </c>
      <c r="W598">
        <v>450</v>
      </c>
      <c r="X598">
        <v>115</v>
      </c>
      <c r="Y598">
        <v>472.5</v>
      </c>
      <c r="Z598">
        <v>371</v>
      </c>
      <c r="AA598">
        <v>18.200000762939499</v>
      </c>
    </row>
    <row r="599" spans="22:34" x14ac:dyDescent="0.25">
      <c r="V599">
        <v>1</v>
      </c>
      <c r="W599">
        <v>450</v>
      </c>
      <c r="X599">
        <v>115</v>
      </c>
      <c r="Y599">
        <v>495</v>
      </c>
      <c r="Z599">
        <v>388.70001220703102</v>
      </c>
      <c r="AA599">
        <v>18.200000762939499</v>
      </c>
    </row>
    <row r="600" spans="22:34" x14ac:dyDescent="0.25">
      <c r="V600">
        <v>1</v>
      </c>
      <c r="W600">
        <v>450</v>
      </c>
      <c r="X600">
        <v>115</v>
      </c>
      <c r="Y600">
        <v>495</v>
      </c>
      <c r="Z600">
        <v>388.70001220703102</v>
      </c>
      <c r="AA600">
        <v>18.200000762939499</v>
      </c>
      <c r="AC600">
        <v>1</v>
      </c>
      <c r="AD600">
        <v>450</v>
      </c>
      <c r="AE600">
        <v>18.200000762939499</v>
      </c>
      <c r="AF600">
        <v>115</v>
      </c>
      <c r="AG600">
        <v>472.5</v>
      </c>
      <c r="AH600">
        <v>371</v>
      </c>
    </row>
    <row r="601" spans="22:34" x14ac:dyDescent="0.25">
      <c r="V601">
        <v>1</v>
      </c>
      <c r="W601">
        <v>450</v>
      </c>
      <c r="X601">
        <v>115</v>
      </c>
      <c r="Y601">
        <v>472.5</v>
      </c>
      <c r="Z601">
        <v>371</v>
      </c>
      <c r="AA601">
        <v>18.200000762939499</v>
      </c>
      <c r="AC601">
        <v>1</v>
      </c>
      <c r="AD601">
        <v>450</v>
      </c>
      <c r="AE601">
        <v>18.200000762939499</v>
      </c>
      <c r="AF601">
        <v>115</v>
      </c>
      <c r="AG601">
        <v>495</v>
      </c>
      <c r="AH601">
        <v>388.70001220703102</v>
      </c>
    </row>
    <row r="602" spans="22:34" x14ac:dyDescent="0.25">
      <c r="V602">
        <v>1</v>
      </c>
      <c r="W602">
        <v>450</v>
      </c>
      <c r="X602">
        <v>115</v>
      </c>
      <c r="Y602">
        <v>472.5</v>
      </c>
      <c r="Z602">
        <v>371</v>
      </c>
      <c r="AA602">
        <v>18.200000762939499</v>
      </c>
      <c r="AC602">
        <v>1</v>
      </c>
      <c r="AD602">
        <v>450</v>
      </c>
      <c r="AE602">
        <v>18.200000762939499</v>
      </c>
      <c r="AF602">
        <v>115</v>
      </c>
      <c r="AG602">
        <v>495</v>
      </c>
      <c r="AH602">
        <v>388.70001220703102</v>
      </c>
    </row>
    <row r="603" spans="22:34" x14ac:dyDescent="0.25">
      <c r="V603">
        <v>1</v>
      </c>
      <c r="W603">
        <v>450</v>
      </c>
      <c r="X603">
        <v>125</v>
      </c>
      <c r="Y603">
        <v>472.5</v>
      </c>
      <c r="Z603">
        <v>371</v>
      </c>
      <c r="AA603">
        <v>20.600000381469702</v>
      </c>
      <c r="AC603">
        <v>1</v>
      </c>
      <c r="AD603">
        <v>450</v>
      </c>
      <c r="AE603">
        <v>18.200000762939499</v>
      </c>
      <c r="AF603">
        <v>115</v>
      </c>
      <c r="AG603">
        <v>472.5</v>
      </c>
      <c r="AH603">
        <v>371</v>
      </c>
    </row>
    <row r="604" spans="22:34" x14ac:dyDescent="0.25">
      <c r="V604">
        <v>1</v>
      </c>
      <c r="W604">
        <v>450</v>
      </c>
      <c r="X604">
        <v>125</v>
      </c>
      <c r="Y604">
        <v>495</v>
      </c>
      <c r="Z604">
        <v>388.70001220703102</v>
      </c>
      <c r="AA604">
        <v>20.600000381469702</v>
      </c>
      <c r="AC604">
        <v>1</v>
      </c>
      <c r="AD604">
        <v>450</v>
      </c>
      <c r="AE604">
        <v>18.200000762939499</v>
      </c>
      <c r="AF604">
        <v>115</v>
      </c>
      <c r="AG604">
        <v>472.5</v>
      </c>
      <c r="AH604">
        <v>371</v>
      </c>
    </row>
    <row r="605" spans="22:34" x14ac:dyDescent="0.25">
      <c r="V605">
        <v>1</v>
      </c>
      <c r="W605">
        <v>450</v>
      </c>
      <c r="X605">
        <v>125</v>
      </c>
      <c r="Y605">
        <v>495</v>
      </c>
      <c r="Z605">
        <v>388.70001220703102</v>
      </c>
      <c r="AA605">
        <v>20.600000381469702</v>
      </c>
    </row>
    <row r="606" spans="22:34" x14ac:dyDescent="0.25">
      <c r="V606">
        <v>1</v>
      </c>
      <c r="W606">
        <v>450</v>
      </c>
      <c r="X606">
        <v>125</v>
      </c>
      <c r="Y606">
        <v>472.5</v>
      </c>
      <c r="Z606">
        <v>371</v>
      </c>
      <c r="AA606">
        <v>20.600000381469702</v>
      </c>
    </row>
    <row r="607" spans="22:34" x14ac:dyDescent="0.25">
      <c r="V607">
        <v>1</v>
      </c>
      <c r="W607">
        <v>450</v>
      </c>
      <c r="X607">
        <v>125</v>
      </c>
      <c r="Y607">
        <v>472.5</v>
      </c>
      <c r="Z607">
        <v>371</v>
      </c>
      <c r="AA607">
        <v>20.600000381469702</v>
      </c>
    </row>
    <row r="608" spans="22:34" x14ac:dyDescent="0.25">
      <c r="V608">
        <v>1</v>
      </c>
      <c r="W608">
        <v>450</v>
      </c>
      <c r="X608">
        <v>140</v>
      </c>
      <c r="Y608">
        <v>472.5</v>
      </c>
      <c r="Z608">
        <v>371</v>
      </c>
      <c r="AA608">
        <v>21.200000762939499</v>
      </c>
    </row>
    <row r="609" spans="22:27" x14ac:dyDescent="0.25">
      <c r="V609">
        <v>1</v>
      </c>
      <c r="W609">
        <v>450</v>
      </c>
      <c r="X609">
        <v>140</v>
      </c>
      <c r="Y609">
        <v>495</v>
      </c>
      <c r="Z609">
        <v>388.70001220703102</v>
      </c>
      <c r="AA609">
        <v>21.200000762939499</v>
      </c>
    </row>
    <row r="610" spans="22:27" x14ac:dyDescent="0.25">
      <c r="V610">
        <v>1</v>
      </c>
      <c r="W610">
        <v>450</v>
      </c>
      <c r="X610">
        <v>140</v>
      </c>
      <c r="Y610">
        <v>495</v>
      </c>
      <c r="Z610">
        <v>388.70001220703102</v>
      </c>
      <c r="AA610">
        <v>21.200000762939499</v>
      </c>
    </row>
    <row r="611" spans="22:27" x14ac:dyDescent="0.25">
      <c r="V611">
        <v>1</v>
      </c>
      <c r="W611">
        <v>450</v>
      </c>
      <c r="X611">
        <v>140</v>
      </c>
      <c r="Y611">
        <v>472.5</v>
      </c>
      <c r="Z611">
        <v>371</v>
      </c>
      <c r="AA611">
        <v>21.200000762939499</v>
      </c>
    </row>
    <row r="612" spans="22:27" x14ac:dyDescent="0.25">
      <c r="V612">
        <v>1</v>
      </c>
      <c r="W612">
        <v>450</v>
      </c>
      <c r="X612">
        <v>140</v>
      </c>
      <c r="Y612">
        <v>472.5</v>
      </c>
      <c r="Z612">
        <v>371</v>
      </c>
      <c r="AA612">
        <v>21.200000762939499</v>
      </c>
    </row>
    <row r="613" spans="22:27" x14ac:dyDescent="0.25">
      <c r="V613">
        <v>1</v>
      </c>
      <c r="W613">
        <v>500</v>
      </c>
      <c r="X613">
        <v>100</v>
      </c>
      <c r="Y613">
        <v>525</v>
      </c>
      <c r="Z613">
        <v>414.39999389648398</v>
      </c>
      <c r="AA613">
        <v>16.799999237060501</v>
      </c>
    </row>
    <row r="614" spans="22:27" x14ac:dyDescent="0.25">
      <c r="V614">
        <v>1</v>
      </c>
      <c r="W614">
        <v>500</v>
      </c>
      <c r="X614">
        <v>100</v>
      </c>
      <c r="Y614">
        <v>550</v>
      </c>
      <c r="Z614">
        <v>434.20001220703102</v>
      </c>
      <c r="AA614">
        <v>16.799999237060501</v>
      </c>
    </row>
    <row r="615" spans="22:27" x14ac:dyDescent="0.25">
      <c r="V615">
        <v>1</v>
      </c>
      <c r="W615">
        <v>500</v>
      </c>
      <c r="X615">
        <v>100</v>
      </c>
      <c r="Y615">
        <v>550</v>
      </c>
      <c r="Z615">
        <v>434.20001220703102</v>
      </c>
      <c r="AA615">
        <v>16.799999237060501</v>
      </c>
    </row>
    <row r="616" spans="22:27" x14ac:dyDescent="0.25">
      <c r="V616">
        <v>1</v>
      </c>
      <c r="W616">
        <v>500</v>
      </c>
      <c r="X616">
        <v>100</v>
      </c>
      <c r="Y616">
        <v>525</v>
      </c>
      <c r="Z616">
        <v>414.39999389648398</v>
      </c>
      <c r="AA616">
        <v>16.799999237060501</v>
      </c>
    </row>
    <row r="617" spans="22:27" x14ac:dyDescent="0.25">
      <c r="V617">
        <v>1</v>
      </c>
      <c r="W617">
        <v>500</v>
      </c>
      <c r="X617">
        <v>100</v>
      </c>
      <c r="Y617">
        <v>525</v>
      </c>
      <c r="Z617">
        <v>414.39999389648398</v>
      </c>
      <c r="AA617">
        <v>16.799999237060501</v>
      </c>
    </row>
    <row r="618" spans="22:27" x14ac:dyDescent="0.25">
      <c r="V618">
        <v>1</v>
      </c>
      <c r="W618">
        <v>500</v>
      </c>
      <c r="X618">
        <v>125</v>
      </c>
      <c r="Y618">
        <v>525</v>
      </c>
      <c r="Z618">
        <v>414.39999389648398</v>
      </c>
      <c r="AA618">
        <v>19.700000762939499</v>
      </c>
    </row>
    <row r="619" spans="22:27" x14ac:dyDescent="0.25">
      <c r="V619">
        <v>1</v>
      </c>
      <c r="W619">
        <v>500</v>
      </c>
      <c r="X619">
        <v>125</v>
      </c>
      <c r="Y619">
        <v>550</v>
      </c>
      <c r="Z619">
        <v>434.20001220703102</v>
      </c>
      <c r="AA619">
        <v>19.700000762939499</v>
      </c>
    </row>
    <row r="620" spans="22:27" x14ac:dyDescent="0.25">
      <c r="V620">
        <v>1</v>
      </c>
      <c r="W620">
        <v>500</v>
      </c>
      <c r="X620">
        <v>125</v>
      </c>
      <c r="Y620">
        <v>550</v>
      </c>
      <c r="Z620">
        <v>434.20001220703102</v>
      </c>
      <c r="AA620">
        <v>19.700000762939499</v>
      </c>
    </row>
    <row r="621" spans="22:27" x14ac:dyDescent="0.25">
      <c r="V621">
        <v>1</v>
      </c>
      <c r="W621">
        <v>500</v>
      </c>
      <c r="X621">
        <v>125</v>
      </c>
      <c r="Y621">
        <v>525</v>
      </c>
      <c r="Z621">
        <v>414.39999389648398</v>
      </c>
      <c r="AA621">
        <v>19.700000762939499</v>
      </c>
    </row>
    <row r="622" spans="22:27" x14ac:dyDescent="0.25">
      <c r="V622">
        <v>1</v>
      </c>
      <c r="W622">
        <v>500</v>
      </c>
      <c r="X622">
        <v>125</v>
      </c>
      <c r="Y622">
        <v>525</v>
      </c>
      <c r="Z622">
        <v>414.39999389648398</v>
      </c>
      <c r="AA622">
        <v>19.700000762939499</v>
      </c>
    </row>
    <row r="623" spans="22:27" x14ac:dyDescent="0.25">
      <c r="V623">
        <v>1</v>
      </c>
      <c r="W623">
        <v>500</v>
      </c>
      <c r="X623">
        <v>150</v>
      </c>
      <c r="Y623">
        <v>525</v>
      </c>
      <c r="Z623">
        <v>414.39999389648398</v>
      </c>
      <c r="AA623">
        <v>23.700000762939499</v>
      </c>
    </row>
    <row r="624" spans="22:27" x14ac:dyDescent="0.25">
      <c r="V624">
        <v>1</v>
      </c>
      <c r="W624">
        <v>500</v>
      </c>
      <c r="X624">
        <v>150</v>
      </c>
      <c r="Y624">
        <v>550</v>
      </c>
      <c r="Z624">
        <v>434.20001220703102</v>
      </c>
      <c r="AA624">
        <v>23.700000762939499</v>
      </c>
    </row>
    <row r="625" spans="22:27" x14ac:dyDescent="0.25">
      <c r="V625">
        <v>1</v>
      </c>
      <c r="W625">
        <v>500</v>
      </c>
      <c r="X625">
        <v>150</v>
      </c>
      <c r="Y625">
        <v>550</v>
      </c>
      <c r="Z625">
        <v>434.20001220703102</v>
      </c>
      <c r="AA625">
        <v>23.700000762939499</v>
      </c>
    </row>
    <row r="626" spans="22:27" x14ac:dyDescent="0.25">
      <c r="V626">
        <v>1</v>
      </c>
      <c r="W626">
        <v>500</v>
      </c>
      <c r="X626">
        <v>150</v>
      </c>
      <c r="Y626">
        <v>525</v>
      </c>
      <c r="Z626">
        <v>414.39999389648398</v>
      </c>
      <c r="AA626">
        <v>23.700000762939499</v>
      </c>
    </row>
    <row r="627" spans="22:27" x14ac:dyDescent="0.25">
      <c r="V627">
        <v>1</v>
      </c>
      <c r="W627">
        <v>500</v>
      </c>
      <c r="X627">
        <v>150</v>
      </c>
      <c r="Y627">
        <v>525</v>
      </c>
      <c r="Z627">
        <v>414.39999389648398</v>
      </c>
      <c r="AA627">
        <v>23.700000762939499</v>
      </c>
    </row>
    <row r="628" spans="22:27" x14ac:dyDescent="0.25">
      <c r="V628">
        <v>2</v>
      </c>
      <c r="W628">
        <v>100</v>
      </c>
      <c r="X628">
        <v>100</v>
      </c>
      <c r="Y628">
        <v>105</v>
      </c>
      <c r="Z628">
        <v>85.400001525878906</v>
      </c>
      <c r="AA628">
        <v>16</v>
      </c>
    </row>
    <row r="629" spans="22:27" x14ac:dyDescent="0.25">
      <c r="V629">
        <v>2</v>
      </c>
      <c r="W629">
        <v>100</v>
      </c>
      <c r="X629">
        <v>100</v>
      </c>
      <c r="Y629">
        <v>110</v>
      </c>
      <c r="Z629">
        <v>89.5</v>
      </c>
      <c r="AA629">
        <v>16</v>
      </c>
    </row>
    <row r="630" spans="22:27" x14ac:dyDescent="0.25">
      <c r="V630">
        <v>2</v>
      </c>
      <c r="W630">
        <v>100</v>
      </c>
      <c r="X630">
        <v>100</v>
      </c>
      <c r="Y630">
        <v>110</v>
      </c>
      <c r="Z630">
        <v>89.5</v>
      </c>
      <c r="AA630">
        <v>16</v>
      </c>
    </row>
    <row r="631" spans="22:27" x14ac:dyDescent="0.25">
      <c r="V631">
        <v>2</v>
      </c>
      <c r="W631">
        <v>100</v>
      </c>
      <c r="X631">
        <v>100</v>
      </c>
      <c r="Y631">
        <v>105</v>
      </c>
      <c r="Z631">
        <v>85.400001525878906</v>
      </c>
      <c r="AA631">
        <v>16</v>
      </c>
    </row>
    <row r="632" spans="22:27" x14ac:dyDescent="0.25">
      <c r="V632">
        <v>2</v>
      </c>
      <c r="W632">
        <v>100</v>
      </c>
      <c r="X632">
        <v>100</v>
      </c>
      <c r="Y632">
        <v>105</v>
      </c>
      <c r="Z632">
        <v>85.400001525878906</v>
      </c>
      <c r="AA632">
        <v>16</v>
      </c>
    </row>
    <row r="633" spans="22:27" x14ac:dyDescent="0.25">
      <c r="V633">
        <v>2</v>
      </c>
      <c r="W633">
        <v>100</v>
      </c>
      <c r="X633">
        <v>115</v>
      </c>
      <c r="Y633">
        <v>105</v>
      </c>
      <c r="Z633">
        <v>85.400001525878906</v>
      </c>
      <c r="AA633">
        <v>17.399999618530298</v>
      </c>
    </row>
    <row r="634" spans="22:27" x14ac:dyDescent="0.25">
      <c r="V634">
        <v>2</v>
      </c>
      <c r="W634">
        <v>100</v>
      </c>
      <c r="X634">
        <v>115</v>
      </c>
      <c r="Y634">
        <v>110</v>
      </c>
      <c r="Z634">
        <v>89.5</v>
      </c>
      <c r="AA634">
        <v>17.399999618530298</v>
      </c>
    </row>
    <row r="635" spans="22:27" x14ac:dyDescent="0.25">
      <c r="V635">
        <v>2</v>
      </c>
      <c r="W635">
        <v>100</v>
      </c>
      <c r="X635">
        <v>115</v>
      </c>
      <c r="Y635">
        <v>110</v>
      </c>
      <c r="Z635">
        <v>89.5</v>
      </c>
      <c r="AA635">
        <v>17.399999618530298</v>
      </c>
    </row>
    <row r="636" spans="22:27" x14ac:dyDescent="0.25">
      <c r="V636">
        <v>2</v>
      </c>
      <c r="W636">
        <v>100</v>
      </c>
      <c r="X636">
        <v>115</v>
      </c>
      <c r="Y636">
        <v>105</v>
      </c>
      <c r="Z636">
        <v>85.400001525878906</v>
      </c>
      <c r="AA636">
        <v>17.399999618530298</v>
      </c>
    </row>
    <row r="637" spans="22:27" x14ac:dyDescent="0.25">
      <c r="V637">
        <v>2</v>
      </c>
      <c r="W637">
        <v>100</v>
      </c>
      <c r="X637">
        <v>115</v>
      </c>
      <c r="Y637">
        <v>105</v>
      </c>
      <c r="Z637">
        <v>85.400001525878906</v>
      </c>
      <c r="AA637">
        <v>17.399999618530298</v>
      </c>
    </row>
    <row r="638" spans="22:27" x14ac:dyDescent="0.25">
      <c r="V638">
        <v>2</v>
      </c>
      <c r="W638">
        <v>100</v>
      </c>
      <c r="X638">
        <v>125</v>
      </c>
      <c r="Y638">
        <v>105</v>
      </c>
      <c r="Z638">
        <v>85.400001525878906</v>
      </c>
      <c r="AA638">
        <v>17.799999237060501</v>
      </c>
    </row>
    <row r="639" spans="22:27" x14ac:dyDescent="0.25">
      <c r="V639">
        <v>2</v>
      </c>
      <c r="W639">
        <v>100</v>
      </c>
      <c r="X639">
        <v>125</v>
      </c>
      <c r="Y639">
        <v>110</v>
      </c>
      <c r="Z639">
        <v>89.5</v>
      </c>
      <c r="AA639">
        <v>17.799999237060501</v>
      </c>
    </row>
    <row r="640" spans="22:27" x14ac:dyDescent="0.25">
      <c r="V640">
        <v>2</v>
      </c>
      <c r="W640">
        <v>100</v>
      </c>
      <c r="X640">
        <v>125</v>
      </c>
      <c r="Y640">
        <v>110</v>
      </c>
      <c r="Z640">
        <v>89.5</v>
      </c>
      <c r="AA640">
        <v>17.799999237060501</v>
      </c>
    </row>
    <row r="641" spans="22:27" x14ac:dyDescent="0.25">
      <c r="V641">
        <v>2</v>
      </c>
      <c r="W641">
        <v>100</v>
      </c>
      <c r="X641">
        <v>125</v>
      </c>
      <c r="Y641">
        <v>105</v>
      </c>
      <c r="Z641">
        <v>85.400001525878906</v>
      </c>
      <c r="AA641">
        <v>17.799999237060501</v>
      </c>
    </row>
    <row r="642" spans="22:27" x14ac:dyDescent="0.25">
      <c r="V642">
        <v>2</v>
      </c>
      <c r="W642">
        <v>100</v>
      </c>
      <c r="X642">
        <v>125</v>
      </c>
      <c r="Y642">
        <v>105</v>
      </c>
      <c r="Z642">
        <v>85.400001525878906</v>
      </c>
      <c r="AA642">
        <v>17.799999237060501</v>
      </c>
    </row>
    <row r="643" spans="22:27" x14ac:dyDescent="0.25">
      <c r="V643">
        <v>2</v>
      </c>
      <c r="W643">
        <v>100</v>
      </c>
      <c r="X643">
        <v>140</v>
      </c>
      <c r="Y643">
        <v>105</v>
      </c>
      <c r="Z643">
        <v>85.400001525878906</v>
      </c>
      <c r="AA643">
        <v>19</v>
      </c>
    </row>
    <row r="644" spans="22:27" x14ac:dyDescent="0.25">
      <c r="V644">
        <v>2</v>
      </c>
      <c r="W644">
        <v>100</v>
      </c>
      <c r="X644">
        <v>140</v>
      </c>
      <c r="Y644">
        <v>110</v>
      </c>
      <c r="Z644">
        <v>89.5</v>
      </c>
      <c r="AA644">
        <v>19</v>
      </c>
    </row>
    <row r="645" spans="22:27" x14ac:dyDescent="0.25">
      <c r="V645">
        <v>2</v>
      </c>
      <c r="W645">
        <v>100</v>
      </c>
      <c r="X645">
        <v>140</v>
      </c>
      <c r="Y645">
        <v>110</v>
      </c>
      <c r="Z645">
        <v>89.5</v>
      </c>
      <c r="AA645">
        <v>19</v>
      </c>
    </row>
    <row r="646" spans="22:27" x14ac:dyDescent="0.25">
      <c r="V646">
        <v>2</v>
      </c>
      <c r="W646">
        <v>100</v>
      </c>
      <c r="X646">
        <v>140</v>
      </c>
      <c r="Y646">
        <v>105</v>
      </c>
      <c r="Z646">
        <v>85.400001525878906</v>
      </c>
      <c r="AA646">
        <v>19</v>
      </c>
    </row>
    <row r="647" spans="22:27" x14ac:dyDescent="0.25">
      <c r="V647">
        <v>2</v>
      </c>
      <c r="W647">
        <v>100</v>
      </c>
      <c r="X647">
        <v>140</v>
      </c>
      <c r="Y647">
        <v>105</v>
      </c>
      <c r="Z647">
        <v>85.400001525878906</v>
      </c>
      <c r="AA647">
        <v>19</v>
      </c>
    </row>
    <row r="648" spans="22:27" x14ac:dyDescent="0.25">
      <c r="V648">
        <v>2</v>
      </c>
      <c r="W648">
        <v>100</v>
      </c>
      <c r="X648">
        <v>200</v>
      </c>
      <c r="Y648">
        <v>105</v>
      </c>
      <c r="Z648">
        <v>85.400001525878906</v>
      </c>
      <c r="AA648">
        <v>26.600000381469702</v>
      </c>
    </row>
    <row r="649" spans="22:27" x14ac:dyDescent="0.25">
      <c r="V649">
        <v>2</v>
      </c>
      <c r="W649">
        <v>100</v>
      </c>
      <c r="X649">
        <v>200</v>
      </c>
      <c r="Y649">
        <v>110</v>
      </c>
      <c r="Z649">
        <v>89.5</v>
      </c>
      <c r="AA649">
        <v>26.600000381469702</v>
      </c>
    </row>
    <row r="650" spans="22:27" x14ac:dyDescent="0.25">
      <c r="V650">
        <v>2</v>
      </c>
      <c r="W650">
        <v>100</v>
      </c>
      <c r="X650">
        <v>200</v>
      </c>
      <c r="Y650">
        <v>110</v>
      </c>
      <c r="Z650">
        <v>89.5</v>
      </c>
      <c r="AA650">
        <v>26.600000381469702</v>
      </c>
    </row>
    <row r="651" spans="22:27" x14ac:dyDescent="0.25">
      <c r="V651">
        <v>2</v>
      </c>
      <c r="W651">
        <v>100</v>
      </c>
      <c r="X651">
        <v>200</v>
      </c>
      <c r="Y651">
        <v>105</v>
      </c>
      <c r="Z651">
        <v>85.400001525878906</v>
      </c>
      <c r="AA651">
        <v>26.600000381469702</v>
      </c>
    </row>
    <row r="652" spans="22:27" x14ac:dyDescent="0.25">
      <c r="V652">
        <v>2</v>
      </c>
      <c r="W652">
        <v>100</v>
      </c>
      <c r="X652">
        <v>200</v>
      </c>
      <c r="Y652">
        <v>105</v>
      </c>
      <c r="Z652">
        <v>85.400001525878906</v>
      </c>
      <c r="AA652">
        <v>26.600000381469702</v>
      </c>
    </row>
    <row r="653" spans="22:27" x14ac:dyDescent="0.25">
      <c r="V653">
        <v>2</v>
      </c>
      <c r="W653">
        <v>125</v>
      </c>
      <c r="X653">
        <v>100</v>
      </c>
      <c r="Y653">
        <v>131.30000305175801</v>
      </c>
      <c r="Z653">
        <v>106</v>
      </c>
      <c r="AA653">
        <v>16.100000381469702</v>
      </c>
    </row>
    <row r="654" spans="22:27" x14ac:dyDescent="0.25">
      <c r="V654">
        <v>2</v>
      </c>
      <c r="W654">
        <v>125</v>
      </c>
      <c r="X654">
        <v>100</v>
      </c>
      <c r="Y654">
        <v>137.5</v>
      </c>
      <c r="Z654">
        <v>111</v>
      </c>
      <c r="AA654">
        <v>16.100000381469702</v>
      </c>
    </row>
    <row r="655" spans="22:27" x14ac:dyDescent="0.25">
      <c r="V655">
        <v>2</v>
      </c>
      <c r="W655">
        <v>125</v>
      </c>
      <c r="X655">
        <v>100</v>
      </c>
      <c r="Y655">
        <v>137.5</v>
      </c>
      <c r="Z655">
        <v>111</v>
      </c>
      <c r="AA655">
        <v>16.100000381469702</v>
      </c>
    </row>
    <row r="656" spans="22:27" x14ac:dyDescent="0.25">
      <c r="V656">
        <v>2</v>
      </c>
      <c r="W656">
        <v>125</v>
      </c>
      <c r="X656">
        <v>100</v>
      </c>
      <c r="Y656">
        <v>131.30000305175801</v>
      </c>
      <c r="Z656">
        <v>106</v>
      </c>
      <c r="AA656">
        <v>16.100000381469702</v>
      </c>
    </row>
    <row r="657" spans="22:27" x14ac:dyDescent="0.25">
      <c r="V657">
        <v>2</v>
      </c>
      <c r="W657">
        <v>125</v>
      </c>
      <c r="X657">
        <v>100</v>
      </c>
      <c r="Y657">
        <v>131.30000305175801</v>
      </c>
      <c r="Z657">
        <v>106</v>
      </c>
      <c r="AA657">
        <v>16.100000381469702</v>
      </c>
    </row>
    <row r="658" spans="22:27" x14ac:dyDescent="0.25">
      <c r="V658">
        <v>2</v>
      </c>
      <c r="W658">
        <v>125</v>
      </c>
      <c r="X658">
        <v>115</v>
      </c>
      <c r="Y658">
        <v>131.30000305175801</v>
      </c>
      <c r="Z658">
        <v>106</v>
      </c>
      <c r="AA658">
        <v>17.399999618530298</v>
      </c>
    </row>
    <row r="659" spans="22:27" x14ac:dyDescent="0.25">
      <c r="V659">
        <v>2</v>
      </c>
      <c r="W659">
        <v>125</v>
      </c>
      <c r="X659">
        <v>115</v>
      </c>
      <c r="Y659">
        <v>137.5</v>
      </c>
      <c r="Z659">
        <v>111</v>
      </c>
      <c r="AA659">
        <v>17.399999618530298</v>
      </c>
    </row>
    <row r="660" spans="22:27" x14ac:dyDescent="0.25">
      <c r="V660">
        <v>2</v>
      </c>
      <c r="W660">
        <v>125</v>
      </c>
      <c r="X660">
        <v>115</v>
      </c>
      <c r="Y660">
        <v>137.5</v>
      </c>
      <c r="Z660">
        <v>111</v>
      </c>
      <c r="AA660">
        <v>17.399999618530298</v>
      </c>
    </row>
    <row r="661" spans="22:27" x14ac:dyDescent="0.25">
      <c r="V661">
        <v>2</v>
      </c>
      <c r="W661">
        <v>125</v>
      </c>
      <c r="X661">
        <v>115</v>
      </c>
      <c r="Y661">
        <v>131.30000305175801</v>
      </c>
      <c r="Z661">
        <v>106</v>
      </c>
      <c r="AA661">
        <v>17.399999618530298</v>
      </c>
    </row>
    <row r="662" spans="22:27" x14ac:dyDescent="0.25">
      <c r="V662">
        <v>2</v>
      </c>
      <c r="W662">
        <v>125</v>
      </c>
      <c r="X662">
        <v>115</v>
      </c>
      <c r="Y662">
        <v>131.30000305175801</v>
      </c>
      <c r="Z662">
        <v>106</v>
      </c>
      <c r="AA662">
        <v>17.399999618530298</v>
      </c>
    </row>
    <row r="663" spans="22:27" x14ac:dyDescent="0.25">
      <c r="V663">
        <v>2</v>
      </c>
      <c r="W663">
        <v>125</v>
      </c>
      <c r="X663">
        <v>125</v>
      </c>
      <c r="Y663">
        <v>131.30000305175801</v>
      </c>
      <c r="Z663">
        <v>106</v>
      </c>
      <c r="AA663">
        <v>17.899999618530298</v>
      </c>
    </row>
    <row r="664" spans="22:27" x14ac:dyDescent="0.25">
      <c r="V664">
        <v>2</v>
      </c>
      <c r="W664">
        <v>125</v>
      </c>
      <c r="X664">
        <v>125</v>
      </c>
      <c r="Y664">
        <v>137.5</v>
      </c>
      <c r="Z664">
        <v>111</v>
      </c>
      <c r="AA664">
        <v>17.899999618530298</v>
      </c>
    </row>
    <row r="665" spans="22:27" x14ac:dyDescent="0.25">
      <c r="V665">
        <v>2</v>
      </c>
      <c r="W665">
        <v>125</v>
      </c>
      <c r="X665">
        <v>125</v>
      </c>
      <c r="Y665">
        <v>137.5</v>
      </c>
      <c r="Z665">
        <v>111</v>
      </c>
      <c r="AA665">
        <v>17.899999618530298</v>
      </c>
    </row>
    <row r="666" spans="22:27" x14ac:dyDescent="0.25">
      <c r="V666">
        <v>2</v>
      </c>
      <c r="W666">
        <v>125</v>
      </c>
      <c r="X666">
        <v>125</v>
      </c>
      <c r="Y666">
        <v>131.30000305175801</v>
      </c>
      <c r="Z666">
        <v>106</v>
      </c>
      <c r="AA666">
        <v>17.899999618530298</v>
      </c>
    </row>
    <row r="667" spans="22:27" x14ac:dyDescent="0.25">
      <c r="V667">
        <v>2</v>
      </c>
      <c r="W667">
        <v>125</v>
      </c>
      <c r="X667">
        <v>125</v>
      </c>
      <c r="Y667">
        <v>131.30000305175801</v>
      </c>
      <c r="Z667">
        <v>106</v>
      </c>
      <c r="AA667">
        <v>17.899999618530298</v>
      </c>
    </row>
    <row r="668" spans="22:27" x14ac:dyDescent="0.25">
      <c r="V668">
        <v>2</v>
      </c>
      <c r="W668">
        <v>125</v>
      </c>
      <c r="X668">
        <v>140</v>
      </c>
      <c r="Y668">
        <v>131.30000305175801</v>
      </c>
      <c r="Z668">
        <v>106</v>
      </c>
      <c r="AA668">
        <v>19.100000381469702</v>
      </c>
    </row>
    <row r="669" spans="22:27" x14ac:dyDescent="0.25">
      <c r="V669">
        <v>2</v>
      </c>
      <c r="W669">
        <v>125</v>
      </c>
      <c r="X669">
        <v>140</v>
      </c>
      <c r="Y669">
        <v>137.5</v>
      </c>
      <c r="Z669">
        <v>111</v>
      </c>
      <c r="AA669">
        <v>19.100000381469702</v>
      </c>
    </row>
    <row r="670" spans="22:27" x14ac:dyDescent="0.25">
      <c r="V670">
        <v>2</v>
      </c>
      <c r="W670">
        <v>125</v>
      </c>
      <c r="X670">
        <v>140</v>
      </c>
      <c r="Y670">
        <v>137.5</v>
      </c>
      <c r="Z670">
        <v>111</v>
      </c>
      <c r="AA670">
        <v>19.100000381469702</v>
      </c>
    </row>
    <row r="671" spans="22:27" x14ac:dyDescent="0.25">
      <c r="V671">
        <v>2</v>
      </c>
      <c r="W671">
        <v>125</v>
      </c>
      <c r="X671">
        <v>140</v>
      </c>
      <c r="Y671">
        <v>131.30000305175801</v>
      </c>
      <c r="Z671">
        <v>106</v>
      </c>
      <c r="AA671">
        <v>19.100000381469702</v>
      </c>
    </row>
    <row r="672" spans="22:27" x14ac:dyDescent="0.25">
      <c r="V672">
        <v>2</v>
      </c>
      <c r="W672">
        <v>125</v>
      </c>
      <c r="X672">
        <v>140</v>
      </c>
      <c r="Y672">
        <v>131.30000305175801</v>
      </c>
      <c r="Z672">
        <v>106</v>
      </c>
      <c r="AA672">
        <v>19.100000381469702</v>
      </c>
    </row>
    <row r="673" spans="22:27" x14ac:dyDescent="0.25">
      <c r="V673">
        <v>2</v>
      </c>
      <c r="W673">
        <v>125</v>
      </c>
      <c r="X673">
        <v>200</v>
      </c>
      <c r="Y673">
        <v>131.30000305175801</v>
      </c>
      <c r="Z673">
        <v>106</v>
      </c>
      <c r="AA673">
        <v>26.799999237060501</v>
      </c>
    </row>
    <row r="674" spans="22:27" x14ac:dyDescent="0.25">
      <c r="V674">
        <v>2</v>
      </c>
      <c r="W674">
        <v>125</v>
      </c>
      <c r="X674">
        <v>200</v>
      </c>
      <c r="Y674">
        <v>137.5</v>
      </c>
      <c r="Z674">
        <v>111</v>
      </c>
      <c r="AA674">
        <v>26.799999237060501</v>
      </c>
    </row>
    <row r="675" spans="22:27" x14ac:dyDescent="0.25">
      <c r="V675">
        <v>2</v>
      </c>
      <c r="W675">
        <v>125</v>
      </c>
      <c r="X675">
        <v>200</v>
      </c>
      <c r="Y675">
        <v>137.5</v>
      </c>
      <c r="Z675">
        <v>111</v>
      </c>
      <c r="AA675">
        <v>26.799999237060501</v>
      </c>
    </row>
    <row r="676" spans="22:27" x14ac:dyDescent="0.25">
      <c r="V676">
        <v>2</v>
      </c>
      <c r="W676">
        <v>125</v>
      </c>
      <c r="X676">
        <v>200</v>
      </c>
      <c r="Y676">
        <v>131.30000305175801</v>
      </c>
      <c r="Z676">
        <v>106</v>
      </c>
      <c r="AA676">
        <v>26.799999237060501</v>
      </c>
    </row>
    <row r="677" spans="22:27" x14ac:dyDescent="0.25">
      <c r="V677">
        <v>2</v>
      </c>
      <c r="W677">
        <v>125</v>
      </c>
      <c r="X677">
        <v>200</v>
      </c>
      <c r="Y677">
        <v>131.30000305175801</v>
      </c>
      <c r="Z677">
        <v>106</v>
      </c>
      <c r="AA677">
        <v>26.799999237060501</v>
      </c>
    </row>
    <row r="678" spans="22:27" x14ac:dyDescent="0.25">
      <c r="V678">
        <v>2</v>
      </c>
      <c r="W678">
        <v>150</v>
      </c>
      <c r="X678">
        <v>100</v>
      </c>
      <c r="Y678">
        <v>157.5</v>
      </c>
      <c r="Z678">
        <v>126.300003051758</v>
      </c>
      <c r="AA678">
        <v>16</v>
      </c>
    </row>
    <row r="679" spans="22:27" x14ac:dyDescent="0.25">
      <c r="V679">
        <v>2</v>
      </c>
      <c r="W679">
        <v>150</v>
      </c>
      <c r="X679">
        <v>100</v>
      </c>
      <c r="Y679">
        <v>165</v>
      </c>
      <c r="Z679">
        <v>132.39999389648401</v>
      </c>
      <c r="AA679">
        <v>16</v>
      </c>
    </row>
    <row r="680" spans="22:27" x14ac:dyDescent="0.25">
      <c r="V680">
        <v>2</v>
      </c>
      <c r="W680">
        <v>150</v>
      </c>
      <c r="X680">
        <v>100</v>
      </c>
      <c r="Y680">
        <v>165</v>
      </c>
      <c r="Z680">
        <v>132.39999389648401</v>
      </c>
      <c r="AA680">
        <v>16</v>
      </c>
    </row>
    <row r="681" spans="22:27" x14ac:dyDescent="0.25">
      <c r="V681">
        <v>2</v>
      </c>
      <c r="W681">
        <v>150</v>
      </c>
      <c r="X681">
        <v>100</v>
      </c>
      <c r="Y681">
        <v>157.5</v>
      </c>
      <c r="Z681">
        <v>126.300003051758</v>
      </c>
      <c r="AA681">
        <v>16</v>
      </c>
    </row>
    <row r="682" spans="22:27" x14ac:dyDescent="0.25">
      <c r="V682">
        <v>2</v>
      </c>
      <c r="W682">
        <v>150</v>
      </c>
      <c r="X682">
        <v>100</v>
      </c>
      <c r="Y682">
        <v>157.5</v>
      </c>
      <c r="Z682">
        <v>126.300003051758</v>
      </c>
      <c r="AA682">
        <v>16</v>
      </c>
    </row>
    <row r="683" spans="22:27" x14ac:dyDescent="0.25">
      <c r="V683">
        <v>2</v>
      </c>
      <c r="W683">
        <v>150</v>
      </c>
      <c r="X683">
        <v>115</v>
      </c>
      <c r="Y683">
        <v>157.5</v>
      </c>
      <c r="Z683">
        <v>126.300003051758</v>
      </c>
      <c r="AA683">
        <v>17.5</v>
      </c>
    </row>
    <row r="684" spans="22:27" x14ac:dyDescent="0.25">
      <c r="V684">
        <v>2</v>
      </c>
      <c r="W684">
        <v>150</v>
      </c>
      <c r="X684">
        <v>115</v>
      </c>
      <c r="Y684">
        <v>165</v>
      </c>
      <c r="Z684">
        <v>132.39999389648401</v>
      </c>
      <c r="AA684">
        <v>17.5</v>
      </c>
    </row>
    <row r="685" spans="22:27" x14ac:dyDescent="0.25">
      <c r="V685">
        <v>2</v>
      </c>
      <c r="W685">
        <v>150</v>
      </c>
      <c r="X685">
        <v>115</v>
      </c>
      <c r="Y685">
        <v>165</v>
      </c>
      <c r="Z685">
        <v>132.39999389648401</v>
      </c>
      <c r="AA685">
        <v>17.5</v>
      </c>
    </row>
    <row r="686" spans="22:27" x14ac:dyDescent="0.25">
      <c r="V686">
        <v>2</v>
      </c>
      <c r="W686">
        <v>150</v>
      </c>
      <c r="X686">
        <v>115</v>
      </c>
      <c r="Y686">
        <v>157.5</v>
      </c>
      <c r="Z686">
        <v>126.300003051758</v>
      </c>
      <c r="AA686">
        <v>17.5</v>
      </c>
    </row>
    <row r="687" spans="22:27" x14ac:dyDescent="0.25">
      <c r="V687">
        <v>2</v>
      </c>
      <c r="W687">
        <v>150</v>
      </c>
      <c r="X687">
        <v>115</v>
      </c>
      <c r="Y687">
        <v>157.5</v>
      </c>
      <c r="Z687">
        <v>126.300003051758</v>
      </c>
      <c r="AA687">
        <v>17.5</v>
      </c>
    </row>
    <row r="688" spans="22:27" x14ac:dyDescent="0.25">
      <c r="V688">
        <v>2</v>
      </c>
      <c r="W688">
        <v>150</v>
      </c>
      <c r="X688">
        <v>125</v>
      </c>
      <c r="Y688">
        <v>157.5</v>
      </c>
      <c r="Z688">
        <v>126.300003051758</v>
      </c>
      <c r="AA688">
        <v>17.799999237060501</v>
      </c>
    </row>
    <row r="689" spans="22:27" x14ac:dyDescent="0.25">
      <c r="V689">
        <v>2</v>
      </c>
      <c r="W689">
        <v>150</v>
      </c>
      <c r="X689">
        <v>125</v>
      </c>
      <c r="Y689">
        <v>165</v>
      </c>
      <c r="Z689">
        <v>132.39999389648401</v>
      </c>
      <c r="AA689">
        <v>17.799999237060501</v>
      </c>
    </row>
    <row r="690" spans="22:27" x14ac:dyDescent="0.25">
      <c r="V690">
        <v>2</v>
      </c>
      <c r="W690">
        <v>150</v>
      </c>
      <c r="X690">
        <v>125</v>
      </c>
      <c r="Y690">
        <v>165</v>
      </c>
      <c r="Z690">
        <v>132.39999389648401</v>
      </c>
      <c r="AA690">
        <v>17.799999237060501</v>
      </c>
    </row>
    <row r="691" spans="22:27" x14ac:dyDescent="0.25">
      <c r="V691">
        <v>2</v>
      </c>
      <c r="W691">
        <v>150</v>
      </c>
      <c r="X691">
        <v>125</v>
      </c>
      <c r="Y691">
        <v>157.5</v>
      </c>
      <c r="Z691">
        <v>126.300003051758</v>
      </c>
      <c r="AA691">
        <v>17.799999237060501</v>
      </c>
    </row>
    <row r="692" spans="22:27" x14ac:dyDescent="0.25">
      <c r="V692">
        <v>2</v>
      </c>
      <c r="W692">
        <v>150</v>
      </c>
      <c r="X692">
        <v>125</v>
      </c>
      <c r="Y692">
        <v>157.5</v>
      </c>
      <c r="Z692">
        <v>126.300003051758</v>
      </c>
      <c r="AA692">
        <v>17.799999237060501</v>
      </c>
    </row>
    <row r="693" spans="22:27" x14ac:dyDescent="0.25">
      <c r="V693">
        <v>2</v>
      </c>
      <c r="W693">
        <v>150</v>
      </c>
      <c r="X693">
        <v>140</v>
      </c>
      <c r="Y693">
        <v>157.5</v>
      </c>
      <c r="Z693">
        <v>126.300003051758</v>
      </c>
      <c r="AA693">
        <v>19.100000381469702</v>
      </c>
    </row>
    <row r="694" spans="22:27" x14ac:dyDescent="0.25">
      <c r="V694">
        <v>2</v>
      </c>
      <c r="W694">
        <v>150</v>
      </c>
      <c r="X694">
        <v>140</v>
      </c>
      <c r="Y694">
        <v>165</v>
      </c>
      <c r="Z694">
        <v>132.39999389648401</v>
      </c>
      <c r="AA694">
        <v>19.100000381469702</v>
      </c>
    </row>
    <row r="695" spans="22:27" x14ac:dyDescent="0.25">
      <c r="V695">
        <v>2</v>
      </c>
      <c r="W695">
        <v>150</v>
      </c>
      <c r="X695">
        <v>140</v>
      </c>
      <c r="Y695">
        <v>165</v>
      </c>
      <c r="Z695">
        <v>132.39999389648401</v>
      </c>
      <c r="AA695">
        <v>19.100000381469702</v>
      </c>
    </row>
    <row r="696" spans="22:27" x14ac:dyDescent="0.25">
      <c r="V696">
        <v>2</v>
      </c>
      <c r="W696">
        <v>150</v>
      </c>
      <c r="X696">
        <v>140</v>
      </c>
      <c r="Y696">
        <v>157.5</v>
      </c>
      <c r="Z696">
        <v>126.300003051758</v>
      </c>
      <c r="AA696">
        <v>19.100000381469702</v>
      </c>
    </row>
    <row r="697" spans="22:27" x14ac:dyDescent="0.25">
      <c r="V697">
        <v>2</v>
      </c>
      <c r="W697">
        <v>150</v>
      </c>
      <c r="X697">
        <v>140</v>
      </c>
      <c r="Y697">
        <v>157.5</v>
      </c>
      <c r="Z697">
        <v>126.300003051758</v>
      </c>
      <c r="AA697">
        <v>19.100000381469702</v>
      </c>
    </row>
    <row r="698" spans="22:27" x14ac:dyDescent="0.25">
      <c r="V698">
        <v>2</v>
      </c>
      <c r="W698">
        <v>150</v>
      </c>
      <c r="X698">
        <v>200</v>
      </c>
      <c r="Y698">
        <v>157.5</v>
      </c>
      <c r="Z698">
        <v>126.300003051758</v>
      </c>
      <c r="AA698">
        <v>26.700000762939499</v>
      </c>
    </row>
    <row r="699" spans="22:27" x14ac:dyDescent="0.25">
      <c r="V699">
        <v>2</v>
      </c>
      <c r="W699">
        <v>150</v>
      </c>
      <c r="X699">
        <v>200</v>
      </c>
      <c r="Y699">
        <v>165</v>
      </c>
      <c r="Z699">
        <v>132.39999389648401</v>
      </c>
      <c r="AA699">
        <v>26.700000762939499</v>
      </c>
    </row>
    <row r="700" spans="22:27" x14ac:dyDescent="0.25">
      <c r="V700">
        <v>2</v>
      </c>
      <c r="W700">
        <v>150</v>
      </c>
      <c r="X700">
        <v>200</v>
      </c>
      <c r="Y700">
        <v>165</v>
      </c>
      <c r="Z700">
        <v>132.39999389648401</v>
      </c>
      <c r="AA700">
        <v>26.700000762939499</v>
      </c>
    </row>
    <row r="701" spans="22:27" x14ac:dyDescent="0.25">
      <c r="V701">
        <v>2</v>
      </c>
      <c r="W701">
        <v>150</v>
      </c>
      <c r="X701">
        <v>200</v>
      </c>
      <c r="Y701">
        <v>157.5</v>
      </c>
      <c r="Z701">
        <v>126.300003051758</v>
      </c>
      <c r="AA701">
        <v>26.700000762939499</v>
      </c>
    </row>
    <row r="702" spans="22:27" x14ac:dyDescent="0.25">
      <c r="V702">
        <v>2</v>
      </c>
      <c r="W702">
        <v>150</v>
      </c>
      <c r="X702">
        <v>200</v>
      </c>
      <c r="Y702">
        <v>157.5</v>
      </c>
      <c r="Z702">
        <v>126.300003051758</v>
      </c>
      <c r="AA702">
        <v>26.700000762939499</v>
      </c>
    </row>
    <row r="703" spans="22:27" x14ac:dyDescent="0.25">
      <c r="V703">
        <v>2</v>
      </c>
      <c r="W703">
        <v>200</v>
      </c>
      <c r="X703">
        <v>100</v>
      </c>
      <c r="Y703">
        <v>210</v>
      </c>
      <c r="Z703">
        <v>166.5</v>
      </c>
      <c r="AA703">
        <v>15.8999996185303</v>
      </c>
    </row>
    <row r="704" spans="22:27" x14ac:dyDescent="0.25">
      <c r="V704">
        <v>2</v>
      </c>
      <c r="W704">
        <v>200</v>
      </c>
      <c r="X704">
        <v>100</v>
      </c>
      <c r="Y704">
        <v>220</v>
      </c>
      <c r="Z704">
        <v>174.39999389648401</v>
      </c>
      <c r="AA704">
        <v>15.8999996185303</v>
      </c>
    </row>
    <row r="705" spans="22:27" x14ac:dyDescent="0.25">
      <c r="V705">
        <v>2</v>
      </c>
      <c r="W705">
        <v>200</v>
      </c>
      <c r="X705">
        <v>100</v>
      </c>
      <c r="Y705">
        <v>220</v>
      </c>
      <c r="Z705">
        <v>174.39999389648401</v>
      </c>
      <c r="AA705">
        <v>15.8999996185303</v>
      </c>
    </row>
    <row r="706" spans="22:27" x14ac:dyDescent="0.25">
      <c r="V706">
        <v>2</v>
      </c>
      <c r="W706">
        <v>200</v>
      </c>
      <c r="X706">
        <v>100</v>
      </c>
      <c r="Y706">
        <v>210</v>
      </c>
      <c r="Z706">
        <v>166.5</v>
      </c>
      <c r="AA706">
        <v>15.8999996185303</v>
      </c>
    </row>
    <row r="707" spans="22:27" x14ac:dyDescent="0.25">
      <c r="V707">
        <v>2</v>
      </c>
      <c r="W707">
        <v>200</v>
      </c>
      <c r="X707">
        <v>100</v>
      </c>
      <c r="Y707">
        <v>210</v>
      </c>
      <c r="Z707">
        <v>166.5</v>
      </c>
      <c r="AA707">
        <v>15.8999996185303</v>
      </c>
    </row>
    <row r="708" spans="22:27" x14ac:dyDescent="0.25">
      <c r="V708">
        <v>2</v>
      </c>
      <c r="W708">
        <v>200</v>
      </c>
      <c r="X708">
        <v>115</v>
      </c>
      <c r="Y708">
        <v>210</v>
      </c>
      <c r="Z708">
        <v>166.5</v>
      </c>
      <c r="AA708">
        <v>17.600000381469702</v>
      </c>
    </row>
    <row r="709" spans="22:27" x14ac:dyDescent="0.25">
      <c r="V709">
        <v>2</v>
      </c>
      <c r="W709">
        <v>200</v>
      </c>
      <c r="X709">
        <v>115</v>
      </c>
      <c r="Y709">
        <v>220</v>
      </c>
      <c r="Z709">
        <v>174.39999389648401</v>
      </c>
      <c r="AA709">
        <v>17.600000381469702</v>
      </c>
    </row>
    <row r="710" spans="22:27" x14ac:dyDescent="0.25">
      <c r="V710">
        <v>2</v>
      </c>
      <c r="W710">
        <v>200</v>
      </c>
      <c r="X710">
        <v>115</v>
      </c>
      <c r="Y710">
        <v>220</v>
      </c>
      <c r="Z710">
        <v>174.39999389648401</v>
      </c>
      <c r="AA710">
        <v>17.600000381469702</v>
      </c>
    </row>
    <row r="711" spans="22:27" x14ac:dyDescent="0.25">
      <c r="V711">
        <v>2</v>
      </c>
      <c r="W711">
        <v>200</v>
      </c>
      <c r="X711">
        <v>115</v>
      </c>
      <c r="Y711">
        <v>210</v>
      </c>
      <c r="Z711">
        <v>166.5</v>
      </c>
      <c r="AA711">
        <v>17.600000381469702</v>
      </c>
    </row>
    <row r="712" spans="22:27" x14ac:dyDescent="0.25">
      <c r="V712">
        <v>2</v>
      </c>
      <c r="W712">
        <v>200</v>
      </c>
      <c r="X712">
        <v>115</v>
      </c>
      <c r="Y712">
        <v>210</v>
      </c>
      <c r="Z712">
        <v>166.5</v>
      </c>
      <c r="AA712">
        <v>17.600000381469702</v>
      </c>
    </row>
    <row r="713" spans="22:27" x14ac:dyDescent="0.25">
      <c r="V713">
        <v>2</v>
      </c>
      <c r="W713">
        <v>200</v>
      </c>
      <c r="X713">
        <v>125</v>
      </c>
      <c r="Y713">
        <v>210</v>
      </c>
      <c r="Z713">
        <v>166.5</v>
      </c>
      <c r="AA713">
        <v>17.600000381469702</v>
      </c>
    </row>
    <row r="714" spans="22:27" x14ac:dyDescent="0.25">
      <c r="V714">
        <v>2</v>
      </c>
      <c r="W714">
        <v>200</v>
      </c>
      <c r="X714">
        <v>125</v>
      </c>
      <c r="Y714">
        <v>220</v>
      </c>
      <c r="Z714">
        <v>174.39999389648401</v>
      </c>
      <c r="AA714">
        <v>17.600000381469702</v>
      </c>
    </row>
    <row r="715" spans="22:27" x14ac:dyDescent="0.25">
      <c r="V715">
        <v>2</v>
      </c>
      <c r="W715">
        <v>200</v>
      </c>
      <c r="X715">
        <v>125</v>
      </c>
      <c r="Y715">
        <v>220</v>
      </c>
      <c r="Z715">
        <v>174.39999389648401</v>
      </c>
      <c r="AA715">
        <v>17.600000381469702</v>
      </c>
    </row>
    <row r="716" spans="22:27" x14ac:dyDescent="0.25">
      <c r="V716">
        <v>2</v>
      </c>
      <c r="W716">
        <v>200</v>
      </c>
      <c r="X716">
        <v>125</v>
      </c>
      <c r="Y716">
        <v>210</v>
      </c>
      <c r="Z716">
        <v>166.5</v>
      </c>
      <c r="AA716">
        <v>17.600000381469702</v>
      </c>
    </row>
    <row r="717" spans="22:27" x14ac:dyDescent="0.25">
      <c r="V717">
        <v>2</v>
      </c>
      <c r="W717">
        <v>200</v>
      </c>
      <c r="X717">
        <v>125</v>
      </c>
      <c r="Y717">
        <v>210</v>
      </c>
      <c r="Z717">
        <v>166.5</v>
      </c>
      <c r="AA717">
        <v>17.600000381469702</v>
      </c>
    </row>
    <row r="718" spans="22:27" x14ac:dyDescent="0.25">
      <c r="V718">
        <v>2</v>
      </c>
      <c r="W718">
        <v>200</v>
      </c>
      <c r="X718">
        <v>140</v>
      </c>
      <c r="Y718">
        <v>210</v>
      </c>
      <c r="Z718">
        <v>166.5</v>
      </c>
      <c r="AA718">
        <v>18.899999618530298</v>
      </c>
    </row>
    <row r="719" spans="22:27" x14ac:dyDescent="0.25">
      <c r="V719">
        <v>2</v>
      </c>
      <c r="W719">
        <v>200</v>
      </c>
      <c r="X719">
        <v>140</v>
      </c>
      <c r="Y719">
        <v>220</v>
      </c>
      <c r="Z719">
        <v>174.39999389648401</v>
      </c>
      <c r="AA719">
        <v>18.899999618530298</v>
      </c>
    </row>
    <row r="720" spans="22:27" x14ac:dyDescent="0.25">
      <c r="V720">
        <v>2</v>
      </c>
      <c r="W720">
        <v>200</v>
      </c>
      <c r="X720">
        <v>140</v>
      </c>
      <c r="Y720">
        <v>220</v>
      </c>
      <c r="Z720">
        <v>174.39999389648401</v>
      </c>
      <c r="AA720">
        <v>18.899999618530298</v>
      </c>
    </row>
    <row r="721" spans="22:27" x14ac:dyDescent="0.25">
      <c r="V721">
        <v>2</v>
      </c>
      <c r="W721">
        <v>200</v>
      </c>
      <c r="X721">
        <v>140</v>
      </c>
      <c r="Y721">
        <v>210</v>
      </c>
      <c r="Z721">
        <v>166.5</v>
      </c>
      <c r="AA721">
        <v>18.899999618530298</v>
      </c>
    </row>
    <row r="722" spans="22:27" x14ac:dyDescent="0.25">
      <c r="V722">
        <v>2</v>
      </c>
      <c r="W722">
        <v>200</v>
      </c>
      <c r="X722">
        <v>140</v>
      </c>
      <c r="Y722">
        <v>210</v>
      </c>
      <c r="Z722">
        <v>166.5</v>
      </c>
      <c r="AA722">
        <v>18.899999618530298</v>
      </c>
    </row>
    <row r="723" spans="22:27" x14ac:dyDescent="0.25">
      <c r="V723">
        <v>2</v>
      </c>
      <c r="W723">
        <v>200</v>
      </c>
      <c r="X723">
        <v>200</v>
      </c>
      <c r="Y723">
        <v>210</v>
      </c>
      <c r="Z723">
        <v>166.5</v>
      </c>
      <c r="AA723">
        <v>26.399999618530298</v>
      </c>
    </row>
    <row r="724" spans="22:27" x14ac:dyDescent="0.25">
      <c r="V724">
        <v>2</v>
      </c>
      <c r="W724">
        <v>200</v>
      </c>
      <c r="X724">
        <v>200</v>
      </c>
      <c r="Y724">
        <v>220</v>
      </c>
      <c r="Z724">
        <v>174.39999389648401</v>
      </c>
      <c r="AA724">
        <v>26.399999618530298</v>
      </c>
    </row>
    <row r="725" spans="22:27" x14ac:dyDescent="0.25">
      <c r="V725">
        <v>2</v>
      </c>
      <c r="W725">
        <v>200</v>
      </c>
      <c r="X725">
        <v>200</v>
      </c>
      <c r="Y725">
        <v>220</v>
      </c>
      <c r="Z725">
        <v>174.39999389648401</v>
      </c>
      <c r="AA725">
        <v>26.399999618530298</v>
      </c>
    </row>
    <row r="726" spans="22:27" x14ac:dyDescent="0.25">
      <c r="V726">
        <v>2</v>
      </c>
      <c r="W726">
        <v>200</v>
      </c>
      <c r="X726">
        <v>200</v>
      </c>
      <c r="Y726">
        <v>210</v>
      </c>
      <c r="Z726">
        <v>166.5</v>
      </c>
      <c r="AA726">
        <v>26.399999618530298</v>
      </c>
    </row>
    <row r="727" spans="22:27" x14ac:dyDescent="0.25">
      <c r="V727">
        <v>2</v>
      </c>
      <c r="W727">
        <v>200</v>
      </c>
      <c r="X727">
        <v>200</v>
      </c>
      <c r="Y727">
        <v>210</v>
      </c>
      <c r="Z727">
        <v>166.5</v>
      </c>
      <c r="AA727">
        <v>26.399999618530298</v>
      </c>
    </row>
    <row r="728" spans="22:27" x14ac:dyDescent="0.25">
      <c r="V728">
        <v>2</v>
      </c>
      <c r="W728">
        <v>250</v>
      </c>
      <c r="X728">
        <v>100</v>
      </c>
      <c r="Y728">
        <v>262.5</v>
      </c>
      <c r="Z728">
        <v>209.19999694824199</v>
      </c>
      <c r="AA728">
        <v>15.800000190734901</v>
      </c>
    </row>
    <row r="729" spans="22:27" x14ac:dyDescent="0.25">
      <c r="V729">
        <v>2</v>
      </c>
      <c r="W729">
        <v>250</v>
      </c>
      <c r="X729">
        <v>100</v>
      </c>
      <c r="Y729">
        <v>275</v>
      </c>
      <c r="Z729">
        <v>219.19999694824199</v>
      </c>
      <c r="AA729">
        <v>15.800000190734901</v>
      </c>
    </row>
    <row r="730" spans="22:27" x14ac:dyDescent="0.25">
      <c r="V730">
        <v>2</v>
      </c>
      <c r="W730">
        <v>250</v>
      </c>
      <c r="X730">
        <v>100</v>
      </c>
      <c r="Y730">
        <v>275</v>
      </c>
      <c r="Z730">
        <v>219.19999694824199</v>
      </c>
      <c r="AA730">
        <v>15.800000190734901</v>
      </c>
    </row>
    <row r="731" spans="22:27" x14ac:dyDescent="0.25">
      <c r="V731">
        <v>2</v>
      </c>
      <c r="W731">
        <v>250</v>
      </c>
      <c r="X731">
        <v>100</v>
      </c>
      <c r="Y731">
        <v>262.5</v>
      </c>
      <c r="Z731">
        <v>209.19999694824199</v>
      </c>
      <c r="AA731">
        <v>15.800000190734901</v>
      </c>
    </row>
    <row r="732" spans="22:27" x14ac:dyDescent="0.25">
      <c r="V732">
        <v>2</v>
      </c>
      <c r="W732">
        <v>250</v>
      </c>
      <c r="X732">
        <v>100</v>
      </c>
      <c r="Y732">
        <v>262.5</v>
      </c>
      <c r="Z732">
        <v>209.19999694824199</v>
      </c>
      <c r="AA732">
        <v>15.800000190734901</v>
      </c>
    </row>
    <row r="733" spans="22:27" x14ac:dyDescent="0.25">
      <c r="V733">
        <v>2</v>
      </c>
      <c r="W733">
        <v>250</v>
      </c>
      <c r="X733">
        <v>125</v>
      </c>
      <c r="Y733">
        <v>262.5</v>
      </c>
      <c r="Z733">
        <v>209.19999694824199</v>
      </c>
      <c r="AA733">
        <v>17.5</v>
      </c>
    </row>
    <row r="734" spans="22:27" x14ac:dyDescent="0.25">
      <c r="V734">
        <v>2</v>
      </c>
      <c r="W734">
        <v>250</v>
      </c>
      <c r="X734">
        <v>125</v>
      </c>
      <c r="Y734">
        <v>275</v>
      </c>
      <c r="Z734">
        <v>219.19999694824199</v>
      </c>
      <c r="AA734">
        <v>17.5</v>
      </c>
    </row>
    <row r="735" spans="22:27" x14ac:dyDescent="0.25">
      <c r="V735">
        <v>2</v>
      </c>
      <c r="W735">
        <v>250</v>
      </c>
      <c r="X735">
        <v>125</v>
      </c>
      <c r="Y735">
        <v>275</v>
      </c>
      <c r="Z735">
        <v>219.19999694824199</v>
      </c>
      <c r="AA735">
        <v>17.5</v>
      </c>
    </row>
    <row r="736" spans="22:27" x14ac:dyDescent="0.25">
      <c r="V736">
        <v>2</v>
      </c>
      <c r="W736">
        <v>250</v>
      </c>
      <c r="X736">
        <v>125</v>
      </c>
      <c r="Y736">
        <v>262.5</v>
      </c>
      <c r="Z736">
        <v>209.19999694824199</v>
      </c>
      <c r="AA736">
        <v>17.5</v>
      </c>
    </row>
    <row r="737" spans="22:27" x14ac:dyDescent="0.25">
      <c r="V737">
        <v>2</v>
      </c>
      <c r="W737">
        <v>250</v>
      </c>
      <c r="X737">
        <v>125</v>
      </c>
      <c r="Y737">
        <v>262.5</v>
      </c>
      <c r="Z737">
        <v>209.19999694824199</v>
      </c>
      <c r="AA737">
        <v>17.5</v>
      </c>
    </row>
    <row r="738" spans="22:27" x14ac:dyDescent="0.25">
      <c r="V738">
        <v>2</v>
      </c>
      <c r="W738">
        <v>250</v>
      </c>
      <c r="X738">
        <v>140</v>
      </c>
      <c r="Y738">
        <v>262.5</v>
      </c>
      <c r="Z738">
        <v>209.19999694824199</v>
      </c>
      <c r="AA738">
        <v>18.799999237060501</v>
      </c>
    </row>
    <row r="739" spans="22:27" x14ac:dyDescent="0.25">
      <c r="V739">
        <v>2</v>
      </c>
      <c r="W739">
        <v>250</v>
      </c>
      <c r="X739">
        <v>140</v>
      </c>
      <c r="Y739">
        <v>275</v>
      </c>
      <c r="Z739">
        <v>219.19999694824199</v>
      </c>
      <c r="AA739">
        <v>18.799999237060501</v>
      </c>
    </row>
    <row r="740" spans="22:27" x14ac:dyDescent="0.25">
      <c r="V740">
        <v>2</v>
      </c>
      <c r="W740">
        <v>250</v>
      </c>
      <c r="X740">
        <v>140</v>
      </c>
      <c r="Y740">
        <v>275</v>
      </c>
      <c r="Z740">
        <v>219.19999694824199</v>
      </c>
      <c r="AA740">
        <v>18.799999237060501</v>
      </c>
    </row>
    <row r="741" spans="22:27" x14ac:dyDescent="0.25">
      <c r="V741">
        <v>2</v>
      </c>
      <c r="W741">
        <v>250</v>
      </c>
      <c r="X741">
        <v>140</v>
      </c>
      <c r="Y741">
        <v>262.5</v>
      </c>
      <c r="Z741">
        <v>209.19999694824199</v>
      </c>
      <c r="AA741">
        <v>18.799999237060501</v>
      </c>
    </row>
    <row r="742" spans="22:27" x14ac:dyDescent="0.25">
      <c r="V742">
        <v>2</v>
      </c>
      <c r="W742">
        <v>250</v>
      </c>
      <c r="X742">
        <v>140</v>
      </c>
      <c r="Y742">
        <v>262.5</v>
      </c>
      <c r="Z742">
        <v>209.19999694824199</v>
      </c>
      <c r="AA742">
        <v>18.799999237060501</v>
      </c>
    </row>
    <row r="743" spans="22:27" x14ac:dyDescent="0.25">
      <c r="V743">
        <v>2</v>
      </c>
      <c r="W743">
        <v>250</v>
      </c>
      <c r="X743">
        <v>200</v>
      </c>
      <c r="Y743">
        <v>262.5</v>
      </c>
      <c r="Z743">
        <v>209.19999694824199</v>
      </c>
      <c r="AA743">
        <v>23.100000381469702</v>
      </c>
    </row>
    <row r="744" spans="22:27" x14ac:dyDescent="0.25">
      <c r="V744">
        <v>2</v>
      </c>
      <c r="W744">
        <v>250</v>
      </c>
      <c r="X744">
        <v>200</v>
      </c>
      <c r="Y744">
        <v>275</v>
      </c>
      <c r="Z744">
        <v>219.19999694824199</v>
      </c>
      <c r="AA744">
        <v>23.100000381469702</v>
      </c>
    </row>
    <row r="745" spans="22:27" x14ac:dyDescent="0.25">
      <c r="V745">
        <v>2</v>
      </c>
      <c r="W745">
        <v>250</v>
      </c>
      <c r="X745">
        <v>200</v>
      </c>
      <c r="Y745">
        <v>275</v>
      </c>
      <c r="Z745">
        <v>219.19999694824199</v>
      </c>
      <c r="AA745">
        <v>23.100000381469702</v>
      </c>
    </row>
    <row r="746" spans="22:27" x14ac:dyDescent="0.25">
      <c r="V746">
        <v>2</v>
      </c>
      <c r="W746">
        <v>250</v>
      </c>
      <c r="X746">
        <v>200</v>
      </c>
      <c r="Y746">
        <v>262.5</v>
      </c>
      <c r="Z746">
        <v>209.19999694824199</v>
      </c>
      <c r="AA746">
        <v>23.100000381469702</v>
      </c>
    </row>
    <row r="747" spans="22:27" x14ac:dyDescent="0.25">
      <c r="V747">
        <v>2</v>
      </c>
      <c r="W747">
        <v>250</v>
      </c>
      <c r="X747">
        <v>200</v>
      </c>
      <c r="Y747">
        <v>262.5</v>
      </c>
      <c r="Z747">
        <v>209.19999694824199</v>
      </c>
      <c r="AA747">
        <v>23.100000381469702</v>
      </c>
    </row>
    <row r="748" spans="22:27" x14ac:dyDescent="0.25">
      <c r="V748">
        <v>2</v>
      </c>
      <c r="W748">
        <v>300</v>
      </c>
      <c r="X748">
        <v>100</v>
      </c>
      <c r="Y748">
        <v>315</v>
      </c>
      <c r="Z748">
        <v>249.69999694824199</v>
      </c>
      <c r="AA748">
        <v>15.300000190734901</v>
      </c>
    </row>
    <row r="749" spans="22:27" x14ac:dyDescent="0.25">
      <c r="V749">
        <v>2</v>
      </c>
      <c r="W749">
        <v>300</v>
      </c>
      <c r="X749">
        <v>100</v>
      </c>
      <c r="Y749">
        <v>330</v>
      </c>
      <c r="Z749">
        <v>261.60000610351602</v>
      </c>
      <c r="AA749">
        <v>15.300000190734901</v>
      </c>
    </row>
    <row r="750" spans="22:27" x14ac:dyDescent="0.25">
      <c r="V750">
        <v>2</v>
      </c>
      <c r="W750">
        <v>300</v>
      </c>
      <c r="X750">
        <v>100</v>
      </c>
      <c r="Y750">
        <v>330</v>
      </c>
      <c r="Z750">
        <v>261.60000610351602</v>
      </c>
      <c r="AA750">
        <v>15.300000190734901</v>
      </c>
    </row>
    <row r="751" spans="22:27" x14ac:dyDescent="0.25">
      <c r="V751">
        <v>2</v>
      </c>
      <c r="W751">
        <v>300</v>
      </c>
      <c r="X751">
        <v>100</v>
      </c>
      <c r="Y751">
        <v>315</v>
      </c>
      <c r="Z751">
        <v>249.69999694824199</v>
      </c>
      <c r="AA751">
        <v>15.300000190734901</v>
      </c>
    </row>
    <row r="752" spans="22:27" x14ac:dyDescent="0.25">
      <c r="V752">
        <v>2</v>
      </c>
      <c r="W752">
        <v>300</v>
      </c>
      <c r="X752">
        <v>100</v>
      </c>
      <c r="Y752">
        <v>315</v>
      </c>
      <c r="Z752">
        <v>249.69999694824199</v>
      </c>
      <c r="AA752">
        <v>15.300000190734901</v>
      </c>
    </row>
    <row r="753" spans="22:27" x14ac:dyDescent="0.25">
      <c r="V753">
        <v>2</v>
      </c>
      <c r="W753">
        <v>300</v>
      </c>
      <c r="X753">
        <v>125</v>
      </c>
      <c r="Y753">
        <v>315</v>
      </c>
      <c r="Z753">
        <v>249.69999694824199</v>
      </c>
      <c r="AA753">
        <v>17.700000762939499</v>
      </c>
    </row>
    <row r="754" spans="22:27" x14ac:dyDescent="0.25">
      <c r="V754">
        <v>2</v>
      </c>
      <c r="W754">
        <v>300</v>
      </c>
      <c r="X754">
        <v>125</v>
      </c>
      <c r="Y754">
        <v>330</v>
      </c>
      <c r="Z754">
        <v>261.60000610351602</v>
      </c>
      <c r="AA754">
        <v>17.700000762939499</v>
      </c>
    </row>
    <row r="755" spans="22:27" x14ac:dyDescent="0.25">
      <c r="V755">
        <v>2</v>
      </c>
      <c r="W755">
        <v>300</v>
      </c>
      <c r="X755">
        <v>125</v>
      </c>
      <c r="Y755">
        <v>330</v>
      </c>
      <c r="Z755">
        <v>261.60000610351602</v>
      </c>
      <c r="AA755">
        <v>17.700000762939499</v>
      </c>
    </row>
    <row r="756" spans="22:27" x14ac:dyDescent="0.25">
      <c r="V756">
        <v>2</v>
      </c>
      <c r="W756">
        <v>300</v>
      </c>
      <c r="X756">
        <v>125</v>
      </c>
      <c r="Y756">
        <v>315</v>
      </c>
      <c r="Z756">
        <v>249.69999694824199</v>
      </c>
      <c r="AA756">
        <v>17.700000762939499</v>
      </c>
    </row>
    <row r="757" spans="22:27" x14ac:dyDescent="0.25">
      <c r="V757">
        <v>2</v>
      </c>
      <c r="W757">
        <v>300</v>
      </c>
      <c r="X757">
        <v>125</v>
      </c>
      <c r="Y757">
        <v>315</v>
      </c>
      <c r="Z757">
        <v>249.69999694824199</v>
      </c>
      <c r="AA757">
        <v>17.700000762939499</v>
      </c>
    </row>
    <row r="758" spans="22:27" x14ac:dyDescent="0.25">
      <c r="V758">
        <v>2</v>
      </c>
      <c r="W758">
        <v>300</v>
      </c>
      <c r="X758">
        <v>140</v>
      </c>
      <c r="Y758">
        <v>315</v>
      </c>
      <c r="Z758">
        <v>249.69999694824199</v>
      </c>
      <c r="AA758">
        <v>18.299999237060501</v>
      </c>
    </row>
    <row r="759" spans="22:27" x14ac:dyDescent="0.25">
      <c r="V759">
        <v>2</v>
      </c>
      <c r="W759">
        <v>300</v>
      </c>
      <c r="X759">
        <v>140</v>
      </c>
      <c r="Y759">
        <v>330</v>
      </c>
      <c r="Z759">
        <v>261.60000610351602</v>
      </c>
      <c r="AA759">
        <v>18.299999237060501</v>
      </c>
    </row>
    <row r="760" spans="22:27" x14ac:dyDescent="0.25">
      <c r="V760">
        <v>2</v>
      </c>
      <c r="W760">
        <v>300</v>
      </c>
      <c r="X760">
        <v>140</v>
      </c>
      <c r="Y760">
        <v>330</v>
      </c>
      <c r="Z760">
        <v>261.60000610351602</v>
      </c>
      <c r="AA760">
        <v>18.299999237060501</v>
      </c>
    </row>
    <row r="761" spans="22:27" x14ac:dyDescent="0.25">
      <c r="V761">
        <v>2</v>
      </c>
      <c r="W761">
        <v>300</v>
      </c>
      <c r="X761">
        <v>140</v>
      </c>
      <c r="Y761">
        <v>315</v>
      </c>
      <c r="Z761">
        <v>249.69999694824199</v>
      </c>
      <c r="AA761">
        <v>18.299999237060501</v>
      </c>
    </row>
    <row r="762" spans="22:27" x14ac:dyDescent="0.25">
      <c r="V762">
        <v>2</v>
      </c>
      <c r="W762">
        <v>300</v>
      </c>
      <c r="X762">
        <v>140</v>
      </c>
      <c r="Y762">
        <v>315</v>
      </c>
      <c r="Z762">
        <v>249.69999694824199</v>
      </c>
      <c r="AA762">
        <v>18.299999237060501</v>
      </c>
    </row>
    <row r="763" spans="22:27" x14ac:dyDescent="0.25">
      <c r="V763">
        <v>2</v>
      </c>
      <c r="W763">
        <v>300</v>
      </c>
      <c r="X763">
        <v>200</v>
      </c>
      <c r="Y763">
        <v>315</v>
      </c>
      <c r="Z763">
        <v>249.69999694824199</v>
      </c>
      <c r="AA763">
        <v>22.899999618530298</v>
      </c>
    </row>
    <row r="764" spans="22:27" x14ac:dyDescent="0.25">
      <c r="V764">
        <v>2</v>
      </c>
      <c r="W764">
        <v>300</v>
      </c>
      <c r="X764">
        <v>200</v>
      </c>
      <c r="Y764">
        <v>330</v>
      </c>
      <c r="Z764">
        <v>261.60000610351602</v>
      </c>
      <c r="AA764">
        <v>22.899999618530298</v>
      </c>
    </row>
    <row r="765" spans="22:27" x14ac:dyDescent="0.25">
      <c r="V765">
        <v>2</v>
      </c>
      <c r="W765">
        <v>300</v>
      </c>
      <c r="X765">
        <v>200</v>
      </c>
      <c r="Y765">
        <v>330</v>
      </c>
      <c r="Z765">
        <v>261.60000610351602</v>
      </c>
      <c r="AA765">
        <v>22.899999618530298</v>
      </c>
    </row>
    <row r="766" spans="22:27" x14ac:dyDescent="0.25">
      <c r="V766">
        <v>2</v>
      </c>
      <c r="W766">
        <v>300</v>
      </c>
      <c r="X766">
        <v>200</v>
      </c>
      <c r="Y766">
        <v>315</v>
      </c>
      <c r="Z766">
        <v>249.69999694824199</v>
      </c>
      <c r="AA766">
        <v>22.899999618530298</v>
      </c>
    </row>
    <row r="767" spans="22:27" x14ac:dyDescent="0.25">
      <c r="V767">
        <v>2</v>
      </c>
      <c r="W767">
        <v>300</v>
      </c>
      <c r="X767">
        <v>200</v>
      </c>
      <c r="Y767">
        <v>315</v>
      </c>
      <c r="Z767">
        <v>249.69999694824199</v>
      </c>
      <c r="AA767">
        <v>22.899999618530298</v>
      </c>
    </row>
    <row r="768" spans="22:27" x14ac:dyDescent="0.25">
      <c r="V768">
        <v>2</v>
      </c>
      <c r="W768">
        <v>350</v>
      </c>
      <c r="X768">
        <v>100</v>
      </c>
      <c r="Y768">
        <v>367.5</v>
      </c>
      <c r="Z768">
        <v>290.10000610351602</v>
      </c>
      <c r="AA768">
        <v>15.6000003814697</v>
      </c>
    </row>
    <row r="769" spans="22:27" x14ac:dyDescent="0.25">
      <c r="V769">
        <v>2</v>
      </c>
      <c r="W769">
        <v>350</v>
      </c>
      <c r="X769">
        <v>100</v>
      </c>
      <c r="Y769">
        <v>385</v>
      </c>
      <c r="Z769">
        <v>303.89999389648398</v>
      </c>
      <c r="AA769">
        <v>15.6000003814697</v>
      </c>
    </row>
    <row r="770" spans="22:27" x14ac:dyDescent="0.25">
      <c r="V770">
        <v>2</v>
      </c>
      <c r="W770">
        <v>350</v>
      </c>
      <c r="X770">
        <v>100</v>
      </c>
      <c r="Y770">
        <v>385</v>
      </c>
      <c r="Z770">
        <v>303.89999389648398</v>
      </c>
      <c r="AA770">
        <v>15.6000003814697</v>
      </c>
    </row>
    <row r="771" spans="22:27" x14ac:dyDescent="0.25">
      <c r="V771">
        <v>2</v>
      </c>
      <c r="W771">
        <v>350</v>
      </c>
      <c r="X771">
        <v>100</v>
      </c>
      <c r="Y771">
        <v>367.5</v>
      </c>
      <c r="Z771">
        <v>290.10000610351602</v>
      </c>
      <c r="AA771">
        <v>15.6000003814697</v>
      </c>
    </row>
    <row r="772" spans="22:27" x14ac:dyDescent="0.25">
      <c r="V772">
        <v>2</v>
      </c>
      <c r="W772">
        <v>350</v>
      </c>
      <c r="X772">
        <v>100</v>
      </c>
      <c r="Y772">
        <v>367.5</v>
      </c>
      <c r="Z772">
        <v>290.10000610351602</v>
      </c>
      <c r="AA772">
        <v>15.6000003814697</v>
      </c>
    </row>
    <row r="773" spans="22:27" x14ac:dyDescent="0.25">
      <c r="V773">
        <v>2</v>
      </c>
      <c r="W773">
        <v>350</v>
      </c>
      <c r="X773">
        <v>125</v>
      </c>
      <c r="Y773">
        <v>367.5</v>
      </c>
      <c r="Z773">
        <v>290.10000610351602</v>
      </c>
      <c r="AA773">
        <v>17.299999237060501</v>
      </c>
    </row>
    <row r="774" spans="22:27" x14ac:dyDescent="0.25">
      <c r="V774">
        <v>2</v>
      </c>
      <c r="W774">
        <v>350</v>
      </c>
      <c r="X774">
        <v>125</v>
      </c>
      <c r="Y774">
        <v>385</v>
      </c>
      <c r="Z774">
        <v>303.89999389648398</v>
      </c>
      <c r="AA774">
        <v>17.299999237060501</v>
      </c>
    </row>
    <row r="775" spans="22:27" x14ac:dyDescent="0.25">
      <c r="V775">
        <v>2</v>
      </c>
      <c r="W775">
        <v>350</v>
      </c>
      <c r="X775">
        <v>125</v>
      </c>
      <c r="Y775">
        <v>385</v>
      </c>
      <c r="Z775">
        <v>303.89999389648398</v>
      </c>
      <c r="AA775">
        <v>17.299999237060501</v>
      </c>
    </row>
    <row r="776" spans="22:27" x14ac:dyDescent="0.25">
      <c r="V776">
        <v>2</v>
      </c>
      <c r="W776">
        <v>350</v>
      </c>
      <c r="X776">
        <v>125</v>
      </c>
      <c r="Y776">
        <v>367.5</v>
      </c>
      <c r="Z776">
        <v>290.10000610351602</v>
      </c>
      <c r="AA776">
        <v>17.299999237060501</v>
      </c>
    </row>
    <row r="777" spans="22:27" x14ac:dyDescent="0.25">
      <c r="V777">
        <v>2</v>
      </c>
      <c r="W777">
        <v>350</v>
      </c>
      <c r="X777">
        <v>125</v>
      </c>
      <c r="Y777">
        <v>367.5</v>
      </c>
      <c r="Z777">
        <v>290.10000610351602</v>
      </c>
      <c r="AA777">
        <v>17.299999237060501</v>
      </c>
    </row>
    <row r="778" spans="22:27" x14ac:dyDescent="0.25">
      <c r="V778">
        <v>2</v>
      </c>
      <c r="W778">
        <v>350</v>
      </c>
      <c r="X778">
        <v>140</v>
      </c>
      <c r="Y778">
        <v>367.5</v>
      </c>
      <c r="Z778">
        <v>290.10000610351602</v>
      </c>
      <c r="AA778">
        <v>18.200000762939499</v>
      </c>
    </row>
    <row r="779" spans="22:27" x14ac:dyDescent="0.25">
      <c r="V779">
        <v>2</v>
      </c>
      <c r="W779">
        <v>350</v>
      </c>
      <c r="X779">
        <v>140</v>
      </c>
      <c r="Y779">
        <v>385</v>
      </c>
      <c r="Z779">
        <v>303.89999389648398</v>
      </c>
      <c r="AA779">
        <v>18.200000762939499</v>
      </c>
    </row>
    <row r="780" spans="22:27" x14ac:dyDescent="0.25">
      <c r="V780">
        <v>2</v>
      </c>
      <c r="W780">
        <v>350</v>
      </c>
      <c r="X780">
        <v>140</v>
      </c>
      <c r="Y780">
        <v>385</v>
      </c>
      <c r="Z780">
        <v>303.89999389648398</v>
      </c>
      <c r="AA780">
        <v>18.200000762939499</v>
      </c>
    </row>
    <row r="781" spans="22:27" x14ac:dyDescent="0.25">
      <c r="V781">
        <v>2</v>
      </c>
      <c r="W781">
        <v>350</v>
      </c>
      <c r="X781">
        <v>140</v>
      </c>
      <c r="Y781">
        <v>367.5</v>
      </c>
      <c r="Z781">
        <v>290.10000610351602</v>
      </c>
      <c r="AA781">
        <v>18.200000762939499</v>
      </c>
    </row>
    <row r="782" spans="22:27" x14ac:dyDescent="0.25">
      <c r="V782">
        <v>2</v>
      </c>
      <c r="W782">
        <v>350</v>
      </c>
      <c r="X782">
        <v>140</v>
      </c>
      <c r="Y782">
        <v>367.5</v>
      </c>
      <c r="Z782">
        <v>290.10000610351602</v>
      </c>
      <c r="AA782">
        <v>18.200000762939499</v>
      </c>
    </row>
    <row r="783" spans="22:27" x14ac:dyDescent="0.25">
      <c r="V783">
        <v>2</v>
      </c>
      <c r="W783">
        <v>350</v>
      </c>
      <c r="X783">
        <v>200</v>
      </c>
      <c r="Y783">
        <v>367.5</v>
      </c>
      <c r="Z783">
        <v>290.10000610351602</v>
      </c>
      <c r="AA783">
        <v>22.200000762939499</v>
      </c>
    </row>
    <row r="784" spans="22:27" x14ac:dyDescent="0.25">
      <c r="V784">
        <v>2</v>
      </c>
      <c r="W784">
        <v>350</v>
      </c>
      <c r="X784">
        <v>200</v>
      </c>
      <c r="Y784">
        <v>385</v>
      </c>
      <c r="Z784">
        <v>303.89999389648398</v>
      </c>
      <c r="AA784">
        <v>22.200000762939499</v>
      </c>
    </row>
    <row r="785" spans="22:27" x14ac:dyDescent="0.25">
      <c r="V785">
        <v>2</v>
      </c>
      <c r="W785">
        <v>350</v>
      </c>
      <c r="X785">
        <v>200</v>
      </c>
      <c r="Y785">
        <v>385</v>
      </c>
      <c r="Z785">
        <v>303.89999389648398</v>
      </c>
      <c r="AA785">
        <v>22.200000762939499</v>
      </c>
    </row>
    <row r="786" spans="22:27" x14ac:dyDescent="0.25">
      <c r="V786">
        <v>2</v>
      </c>
      <c r="W786">
        <v>350</v>
      </c>
      <c r="X786">
        <v>200</v>
      </c>
      <c r="Y786">
        <v>367.5</v>
      </c>
      <c r="Z786">
        <v>290.10000610351602</v>
      </c>
      <c r="AA786">
        <v>22.200000762939499</v>
      </c>
    </row>
    <row r="787" spans="22:27" x14ac:dyDescent="0.25">
      <c r="V787">
        <v>2</v>
      </c>
      <c r="W787">
        <v>350</v>
      </c>
      <c r="X787">
        <v>200</v>
      </c>
      <c r="Y787">
        <v>367.5</v>
      </c>
      <c r="Z787">
        <v>290.10000610351602</v>
      </c>
      <c r="AA787">
        <v>22.200000762939499</v>
      </c>
    </row>
    <row r="788" spans="22:27" x14ac:dyDescent="0.25">
      <c r="V788">
        <v>2</v>
      </c>
      <c r="W788">
        <v>400</v>
      </c>
      <c r="X788">
        <v>100</v>
      </c>
      <c r="Y788">
        <v>420</v>
      </c>
      <c r="Z788">
        <v>331.60000610351602</v>
      </c>
      <c r="AA788">
        <v>15.5</v>
      </c>
    </row>
    <row r="789" spans="22:27" x14ac:dyDescent="0.25">
      <c r="V789">
        <v>2</v>
      </c>
      <c r="W789">
        <v>400</v>
      </c>
      <c r="X789">
        <v>100</v>
      </c>
      <c r="Y789">
        <v>440</v>
      </c>
      <c r="Z789">
        <v>347.29998779296898</v>
      </c>
      <c r="AA789">
        <v>15.5</v>
      </c>
    </row>
    <row r="790" spans="22:27" x14ac:dyDescent="0.25">
      <c r="V790">
        <v>2</v>
      </c>
      <c r="W790">
        <v>400</v>
      </c>
      <c r="X790">
        <v>100</v>
      </c>
      <c r="Y790">
        <v>440</v>
      </c>
      <c r="Z790">
        <v>347.29998779296898</v>
      </c>
      <c r="AA790">
        <v>15.5</v>
      </c>
    </row>
    <row r="791" spans="22:27" x14ac:dyDescent="0.25">
      <c r="V791">
        <v>2</v>
      </c>
      <c r="W791">
        <v>400</v>
      </c>
      <c r="X791">
        <v>100</v>
      </c>
      <c r="Y791">
        <v>420</v>
      </c>
      <c r="Z791">
        <v>331.60000610351602</v>
      </c>
      <c r="AA791">
        <v>15.5</v>
      </c>
    </row>
    <row r="792" spans="22:27" x14ac:dyDescent="0.25">
      <c r="V792">
        <v>2</v>
      </c>
      <c r="W792">
        <v>400</v>
      </c>
      <c r="X792">
        <v>100</v>
      </c>
      <c r="Y792">
        <v>420</v>
      </c>
      <c r="Z792">
        <v>331.60000610351602</v>
      </c>
      <c r="AA792">
        <v>15.5</v>
      </c>
    </row>
    <row r="793" spans="22:27" x14ac:dyDescent="0.25">
      <c r="V793">
        <v>2</v>
      </c>
      <c r="W793">
        <v>400</v>
      </c>
      <c r="X793">
        <v>125</v>
      </c>
      <c r="Y793">
        <v>420</v>
      </c>
      <c r="Z793">
        <v>331.60000610351602</v>
      </c>
      <c r="AA793">
        <v>16.899999618530298</v>
      </c>
    </row>
    <row r="794" spans="22:27" x14ac:dyDescent="0.25">
      <c r="V794">
        <v>2</v>
      </c>
      <c r="W794">
        <v>400</v>
      </c>
      <c r="X794">
        <v>125</v>
      </c>
      <c r="Y794">
        <v>440</v>
      </c>
      <c r="Z794">
        <v>347.29998779296898</v>
      </c>
      <c r="AA794">
        <v>16.899999618530298</v>
      </c>
    </row>
    <row r="795" spans="22:27" x14ac:dyDescent="0.25">
      <c r="V795">
        <v>2</v>
      </c>
      <c r="W795">
        <v>400</v>
      </c>
      <c r="X795">
        <v>125</v>
      </c>
      <c r="Y795">
        <v>440</v>
      </c>
      <c r="Z795">
        <v>347.29998779296898</v>
      </c>
      <c r="AA795">
        <v>16.899999618530298</v>
      </c>
    </row>
    <row r="796" spans="22:27" x14ac:dyDescent="0.25">
      <c r="V796">
        <v>2</v>
      </c>
      <c r="W796">
        <v>400</v>
      </c>
      <c r="X796">
        <v>125</v>
      </c>
      <c r="Y796">
        <v>420</v>
      </c>
      <c r="Z796">
        <v>331.60000610351602</v>
      </c>
      <c r="AA796">
        <v>16.899999618530298</v>
      </c>
    </row>
    <row r="797" spans="22:27" x14ac:dyDescent="0.25">
      <c r="V797">
        <v>2</v>
      </c>
      <c r="W797">
        <v>400</v>
      </c>
      <c r="X797">
        <v>125</v>
      </c>
      <c r="Y797">
        <v>420</v>
      </c>
      <c r="Z797">
        <v>331.60000610351602</v>
      </c>
      <c r="AA797">
        <v>16.899999618530298</v>
      </c>
    </row>
    <row r="798" spans="22:27" x14ac:dyDescent="0.25">
      <c r="V798">
        <v>2</v>
      </c>
      <c r="W798">
        <v>400</v>
      </c>
      <c r="X798">
        <v>140</v>
      </c>
      <c r="Y798">
        <v>420</v>
      </c>
      <c r="Z798">
        <v>331.60000610351602</v>
      </c>
      <c r="AA798">
        <v>18.100000381469702</v>
      </c>
    </row>
    <row r="799" spans="22:27" x14ac:dyDescent="0.25">
      <c r="V799">
        <v>2</v>
      </c>
      <c r="W799">
        <v>400</v>
      </c>
      <c r="X799">
        <v>140</v>
      </c>
      <c r="Y799">
        <v>440</v>
      </c>
      <c r="Z799">
        <v>347.29998779296898</v>
      </c>
      <c r="AA799">
        <v>18.100000381469702</v>
      </c>
    </row>
    <row r="800" spans="22:27" x14ac:dyDescent="0.25">
      <c r="V800">
        <v>2</v>
      </c>
      <c r="W800">
        <v>400</v>
      </c>
      <c r="X800">
        <v>140</v>
      </c>
      <c r="Y800">
        <v>440</v>
      </c>
      <c r="Z800">
        <v>347.29998779296898</v>
      </c>
      <c r="AA800">
        <v>18.100000381469702</v>
      </c>
    </row>
    <row r="801" spans="22:27" x14ac:dyDescent="0.25">
      <c r="V801">
        <v>2</v>
      </c>
      <c r="W801">
        <v>400</v>
      </c>
      <c r="X801">
        <v>140</v>
      </c>
      <c r="Y801">
        <v>420</v>
      </c>
      <c r="Z801">
        <v>331.60000610351602</v>
      </c>
      <c r="AA801">
        <v>18.100000381469702</v>
      </c>
    </row>
    <row r="802" spans="22:27" x14ac:dyDescent="0.25">
      <c r="V802">
        <v>2</v>
      </c>
      <c r="W802">
        <v>400</v>
      </c>
      <c r="X802">
        <v>140</v>
      </c>
      <c r="Y802">
        <v>420</v>
      </c>
      <c r="Z802">
        <v>331.60000610351602</v>
      </c>
      <c r="AA802">
        <v>18.100000381469702</v>
      </c>
    </row>
    <row r="803" spans="22:27" x14ac:dyDescent="0.25">
      <c r="V803">
        <v>2</v>
      </c>
      <c r="W803">
        <v>400</v>
      </c>
      <c r="X803">
        <v>200</v>
      </c>
      <c r="Y803">
        <v>420</v>
      </c>
      <c r="Z803">
        <v>331.60000610351602</v>
      </c>
      <c r="AA803">
        <v>22.5</v>
      </c>
    </row>
    <row r="804" spans="22:27" x14ac:dyDescent="0.25">
      <c r="V804">
        <v>2</v>
      </c>
      <c r="W804">
        <v>400</v>
      </c>
      <c r="X804">
        <v>200</v>
      </c>
      <c r="Y804">
        <v>440</v>
      </c>
      <c r="Z804">
        <v>347.29998779296898</v>
      </c>
      <c r="AA804">
        <v>22.5</v>
      </c>
    </row>
    <row r="805" spans="22:27" x14ac:dyDescent="0.25">
      <c r="V805">
        <v>2</v>
      </c>
      <c r="W805">
        <v>400</v>
      </c>
      <c r="X805">
        <v>200</v>
      </c>
      <c r="Y805">
        <v>440</v>
      </c>
      <c r="Z805">
        <v>347.29998779296898</v>
      </c>
      <c r="AA805">
        <v>22.5</v>
      </c>
    </row>
    <row r="806" spans="22:27" x14ac:dyDescent="0.25">
      <c r="V806">
        <v>2</v>
      </c>
      <c r="W806">
        <v>400</v>
      </c>
      <c r="X806">
        <v>200</v>
      </c>
      <c r="Y806">
        <v>420</v>
      </c>
      <c r="Z806">
        <v>331.60000610351602</v>
      </c>
      <c r="AA806">
        <v>22.5</v>
      </c>
    </row>
    <row r="807" spans="22:27" x14ac:dyDescent="0.25">
      <c r="V807">
        <v>2</v>
      </c>
      <c r="W807">
        <v>400</v>
      </c>
      <c r="X807">
        <v>200</v>
      </c>
      <c r="Y807">
        <v>420</v>
      </c>
      <c r="Z807">
        <v>331.60000610351602</v>
      </c>
      <c r="AA807">
        <v>22.5</v>
      </c>
    </row>
    <row r="808" spans="22:27" x14ac:dyDescent="0.25">
      <c r="V808">
        <v>2</v>
      </c>
      <c r="W808">
        <v>450</v>
      </c>
      <c r="X808">
        <v>100</v>
      </c>
      <c r="Y808">
        <v>472.5</v>
      </c>
      <c r="Z808">
        <v>371</v>
      </c>
      <c r="AA808">
        <v>16.200000762939499</v>
      </c>
    </row>
    <row r="809" spans="22:27" x14ac:dyDescent="0.25">
      <c r="V809">
        <v>2</v>
      </c>
      <c r="W809">
        <v>450</v>
      </c>
      <c r="X809">
        <v>100</v>
      </c>
      <c r="Y809">
        <v>495</v>
      </c>
      <c r="Z809">
        <v>388.70001220703102</v>
      </c>
      <c r="AA809">
        <v>16.200000762939499</v>
      </c>
    </row>
    <row r="810" spans="22:27" x14ac:dyDescent="0.25">
      <c r="V810">
        <v>2</v>
      </c>
      <c r="W810">
        <v>450</v>
      </c>
      <c r="X810">
        <v>100</v>
      </c>
      <c r="Y810">
        <v>495</v>
      </c>
      <c r="Z810">
        <v>388.70001220703102</v>
      </c>
      <c r="AA810">
        <v>16.200000762939499</v>
      </c>
    </row>
    <row r="811" spans="22:27" x14ac:dyDescent="0.25">
      <c r="V811">
        <v>2</v>
      </c>
      <c r="W811">
        <v>450</v>
      </c>
      <c r="X811">
        <v>100</v>
      </c>
      <c r="Y811">
        <v>472.5</v>
      </c>
      <c r="Z811">
        <v>371</v>
      </c>
      <c r="AA811">
        <v>16.200000762939499</v>
      </c>
    </row>
    <row r="812" spans="22:27" x14ac:dyDescent="0.25">
      <c r="V812">
        <v>2</v>
      </c>
      <c r="W812">
        <v>450</v>
      </c>
      <c r="X812">
        <v>100</v>
      </c>
      <c r="Y812">
        <v>472.5</v>
      </c>
      <c r="Z812">
        <v>371</v>
      </c>
      <c r="AA812">
        <v>16.200000762939499</v>
      </c>
    </row>
    <row r="813" spans="22:27" x14ac:dyDescent="0.25">
      <c r="V813">
        <v>2</v>
      </c>
      <c r="W813">
        <v>450</v>
      </c>
      <c r="X813">
        <v>125</v>
      </c>
      <c r="Y813">
        <v>472.5</v>
      </c>
      <c r="Z813">
        <v>371</v>
      </c>
      <c r="AA813">
        <v>17.299999237060501</v>
      </c>
    </row>
    <row r="814" spans="22:27" x14ac:dyDescent="0.25">
      <c r="V814">
        <v>2</v>
      </c>
      <c r="W814">
        <v>450</v>
      </c>
      <c r="X814">
        <v>125</v>
      </c>
      <c r="Y814">
        <v>495</v>
      </c>
      <c r="Z814">
        <v>388.70001220703102</v>
      </c>
      <c r="AA814">
        <v>17.299999237060501</v>
      </c>
    </row>
    <row r="815" spans="22:27" x14ac:dyDescent="0.25">
      <c r="V815">
        <v>2</v>
      </c>
      <c r="W815">
        <v>450</v>
      </c>
      <c r="X815">
        <v>125</v>
      </c>
      <c r="Y815">
        <v>495</v>
      </c>
      <c r="Z815">
        <v>388.70001220703102</v>
      </c>
      <c r="AA815">
        <v>17.299999237060501</v>
      </c>
    </row>
    <row r="816" spans="22:27" x14ac:dyDescent="0.25">
      <c r="V816">
        <v>2</v>
      </c>
      <c r="W816">
        <v>450</v>
      </c>
      <c r="X816">
        <v>125</v>
      </c>
      <c r="Y816">
        <v>472.5</v>
      </c>
      <c r="Z816">
        <v>371</v>
      </c>
      <c r="AA816">
        <v>17.299999237060501</v>
      </c>
    </row>
    <row r="817" spans="22:27" x14ac:dyDescent="0.25">
      <c r="V817">
        <v>2</v>
      </c>
      <c r="W817">
        <v>450</v>
      </c>
      <c r="X817">
        <v>125</v>
      </c>
      <c r="Y817">
        <v>472.5</v>
      </c>
      <c r="Z817">
        <v>371</v>
      </c>
      <c r="AA817">
        <v>17.299999237060501</v>
      </c>
    </row>
    <row r="818" spans="22:27" x14ac:dyDescent="0.25">
      <c r="V818">
        <v>2</v>
      </c>
      <c r="W818">
        <v>450</v>
      </c>
      <c r="X818">
        <v>140</v>
      </c>
      <c r="Y818">
        <v>472.5</v>
      </c>
      <c r="Z818">
        <v>371</v>
      </c>
      <c r="AA818">
        <v>18.5</v>
      </c>
    </row>
    <row r="819" spans="22:27" x14ac:dyDescent="0.25">
      <c r="V819">
        <v>2</v>
      </c>
      <c r="W819">
        <v>450</v>
      </c>
      <c r="X819">
        <v>140</v>
      </c>
      <c r="Y819">
        <v>495</v>
      </c>
      <c r="Z819">
        <v>388.70001220703102</v>
      </c>
      <c r="AA819">
        <v>18.5</v>
      </c>
    </row>
    <row r="820" spans="22:27" x14ac:dyDescent="0.25">
      <c r="V820">
        <v>2</v>
      </c>
      <c r="W820">
        <v>450</v>
      </c>
      <c r="X820">
        <v>140</v>
      </c>
      <c r="Y820">
        <v>495</v>
      </c>
      <c r="Z820">
        <v>388.70001220703102</v>
      </c>
      <c r="AA820">
        <v>18.5</v>
      </c>
    </row>
    <row r="821" spans="22:27" x14ac:dyDescent="0.25">
      <c r="V821">
        <v>2</v>
      </c>
      <c r="W821">
        <v>450</v>
      </c>
      <c r="X821">
        <v>140</v>
      </c>
      <c r="Y821">
        <v>472.5</v>
      </c>
      <c r="Z821">
        <v>371</v>
      </c>
      <c r="AA821">
        <v>18.5</v>
      </c>
    </row>
    <row r="822" spans="22:27" x14ac:dyDescent="0.25">
      <c r="V822">
        <v>2</v>
      </c>
      <c r="W822">
        <v>450</v>
      </c>
      <c r="X822">
        <v>140</v>
      </c>
      <c r="Y822">
        <v>472.5</v>
      </c>
      <c r="Z822">
        <v>371</v>
      </c>
      <c r="AA822">
        <v>18.5</v>
      </c>
    </row>
    <row r="823" spans="22:27" x14ac:dyDescent="0.25">
      <c r="V823">
        <v>2</v>
      </c>
      <c r="W823">
        <v>450</v>
      </c>
      <c r="X823">
        <v>200</v>
      </c>
      <c r="Y823">
        <v>472.5</v>
      </c>
      <c r="Z823">
        <v>371</v>
      </c>
      <c r="AA823">
        <v>22.399999618530298</v>
      </c>
    </row>
    <row r="824" spans="22:27" x14ac:dyDescent="0.25">
      <c r="V824">
        <v>2</v>
      </c>
      <c r="W824">
        <v>450</v>
      </c>
      <c r="X824">
        <v>200</v>
      </c>
      <c r="Y824">
        <v>495</v>
      </c>
      <c r="Z824">
        <v>388.70001220703102</v>
      </c>
      <c r="AA824">
        <v>22.399999618530298</v>
      </c>
    </row>
    <row r="825" spans="22:27" x14ac:dyDescent="0.25">
      <c r="V825">
        <v>2</v>
      </c>
      <c r="W825">
        <v>450</v>
      </c>
      <c r="X825">
        <v>200</v>
      </c>
      <c r="Y825">
        <v>495</v>
      </c>
      <c r="Z825">
        <v>388.70001220703102</v>
      </c>
      <c r="AA825">
        <v>22.399999618530298</v>
      </c>
    </row>
    <row r="826" spans="22:27" x14ac:dyDescent="0.25">
      <c r="V826">
        <v>2</v>
      </c>
      <c r="W826">
        <v>450</v>
      </c>
      <c r="X826">
        <v>200</v>
      </c>
      <c r="Y826">
        <v>472.5</v>
      </c>
      <c r="Z826">
        <v>371</v>
      </c>
      <c r="AA826">
        <v>22.399999618530298</v>
      </c>
    </row>
    <row r="827" spans="22:27" x14ac:dyDescent="0.25">
      <c r="V827">
        <v>2</v>
      </c>
      <c r="W827">
        <v>450</v>
      </c>
      <c r="X827">
        <v>200</v>
      </c>
      <c r="Y827">
        <v>472.5</v>
      </c>
      <c r="Z827">
        <v>371</v>
      </c>
      <c r="AA827">
        <v>22.399999618530298</v>
      </c>
    </row>
    <row r="828" spans="22:27" x14ac:dyDescent="0.25">
      <c r="V828">
        <v>2</v>
      </c>
      <c r="W828">
        <v>500</v>
      </c>
      <c r="X828">
        <v>100</v>
      </c>
      <c r="Y828">
        <v>525</v>
      </c>
      <c r="Z828">
        <v>414.39999389648398</v>
      </c>
      <c r="AA828">
        <v>16.200000762939499</v>
      </c>
    </row>
    <row r="829" spans="22:27" x14ac:dyDescent="0.25">
      <c r="V829">
        <v>2</v>
      </c>
      <c r="W829">
        <v>500</v>
      </c>
      <c r="X829">
        <v>100</v>
      </c>
      <c r="Y829">
        <v>550</v>
      </c>
      <c r="Z829">
        <v>434.20001220703102</v>
      </c>
      <c r="AA829">
        <v>16.200000762939499</v>
      </c>
    </row>
    <row r="830" spans="22:27" x14ac:dyDescent="0.25">
      <c r="V830">
        <v>2</v>
      </c>
      <c r="W830">
        <v>500</v>
      </c>
      <c r="X830">
        <v>100</v>
      </c>
      <c r="Y830">
        <v>550</v>
      </c>
      <c r="Z830">
        <v>434.20001220703102</v>
      </c>
      <c r="AA830">
        <v>16.200000762939499</v>
      </c>
    </row>
    <row r="831" spans="22:27" x14ac:dyDescent="0.25">
      <c r="V831">
        <v>2</v>
      </c>
      <c r="W831">
        <v>500</v>
      </c>
      <c r="X831">
        <v>100</v>
      </c>
      <c r="Y831">
        <v>525</v>
      </c>
      <c r="Z831">
        <v>414.39999389648398</v>
      </c>
      <c r="AA831">
        <v>16.200000762939499</v>
      </c>
    </row>
    <row r="832" spans="22:27" x14ac:dyDescent="0.25">
      <c r="V832">
        <v>2</v>
      </c>
      <c r="W832">
        <v>500</v>
      </c>
      <c r="X832">
        <v>100</v>
      </c>
      <c r="Y832">
        <v>525</v>
      </c>
      <c r="Z832">
        <v>414.39999389648398</v>
      </c>
      <c r="AA832">
        <v>16.200000762939499</v>
      </c>
    </row>
    <row r="833" spans="22:27" x14ac:dyDescent="0.25">
      <c r="V833">
        <v>2</v>
      </c>
      <c r="W833">
        <v>500</v>
      </c>
      <c r="X833">
        <v>125</v>
      </c>
      <c r="Y833">
        <v>525</v>
      </c>
      <c r="Z833">
        <v>414.39999389648398</v>
      </c>
      <c r="AA833">
        <v>17.899999618530298</v>
      </c>
    </row>
    <row r="834" spans="22:27" x14ac:dyDescent="0.25">
      <c r="V834">
        <v>2</v>
      </c>
      <c r="W834">
        <v>500</v>
      </c>
      <c r="X834">
        <v>125</v>
      </c>
      <c r="Y834">
        <v>550</v>
      </c>
      <c r="Z834">
        <v>434.20001220703102</v>
      </c>
      <c r="AA834">
        <v>17.899999618530298</v>
      </c>
    </row>
    <row r="835" spans="22:27" x14ac:dyDescent="0.25">
      <c r="V835">
        <v>2</v>
      </c>
      <c r="W835">
        <v>500</v>
      </c>
      <c r="X835">
        <v>125</v>
      </c>
      <c r="Y835">
        <v>550</v>
      </c>
      <c r="Z835">
        <v>434.20001220703102</v>
      </c>
      <c r="AA835">
        <v>17.899999618530298</v>
      </c>
    </row>
    <row r="836" spans="22:27" x14ac:dyDescent="0.25">
      <c r="V836">
        <v>2</v>
      </c>
      <c r="W836">
        <v>500</v>
      </c>
      <c r="X836">
        <v>125</v>
      </c>
      <c r="Y836">
        <v>525</v>
      </c>
      <c r="Z836">
        <v>414.39999389648398</v>
      </c>
      <c r="AA836">
        <v>17.899999618530298</v>
      </c>
    </row>
    <row r="837" spans="22:27" x14ac:dyDescent="0.25">
      <c r="V837">
        <v>2</v>
      </c>
      <c r="W837">
        <v>500</v>
      </c>
      <c r="X837">
        <v>125</v>
      </c>
      <c r="Y837">
        <v>525</v>
      </c>
      <c r="Z837">
        <v>414.39999389648398</v>
      </c>
      <c r="AA837">
        <v>17.899999618530298</v>
      </c>
    </row>
    <row r="838" spans="22:27" x14ac:dyDescent="0.25">
      <c r="V838">
        <v>2</v>
      </c>
      <c r="W838">
        <v>500</v>
      </c>
      <c r="X838">
        <v>140</v>
      </c>
      <c r="Y838">
        <v>525</v>
      </c>
      <c r="Z838">
        <v>414.39999389648398</v>
      </c>
      <c r="AA838">
        <v>19.200000762939499</v>
      </c>
    </row>
    <row r="839" spans="22:27" x14ac:dyDescent="0.25">
      <c r="V839">
        <v>2</v>
      </c>
      <c r="W839">
        <v>500</v>
      </c>
      <c r="X839">
        <v>140</v>
      </c>
      <c r="Y839">
        <v>550</v>
      </c>
      <c r="Z839">
        <v>434.20001220703102</v>
      </c>
      <c r="AA839">
        <v>19.200000762939499</v>
      </c>
    </row>
    <row r="840" spans="22:27" x14ac:dyDescent="0.25">
      <c r="V840">
        <v>2</v>
      </c>
      <c r="W840">
        <v>500</v>
      </c>
      <c r="X840">
        <v>140</v>
      </c>
      <c r="Y840">
        <v>550</v>
      </c>
      <c r="Z840">
        <v>434.20001220703102</v>
      </c>
      <c r="AA840">
        <v>19.200000762939499</v>
      </c>
    </row>
    <row r="841" spans="22:27" x14ac:dyDescent="0.25">
      <c r="V841">
        <v>2</v>
      </c>
      <c r="W841">
        <v>500</v>
      </c>
      <c r="X841">
        <v>140</v>
      </c>
      <c r="Y841">
        <v>525</v>
      </c>
      <c r="Z841">
        <v>414.39999389648398</v>
      </c>
      <c r="AA841">
        <v>19.200000762939499</v>
      </c>
    </row>
    <row r="842" spans="22:27" x14ac:dyDescent="0.25">
      <c r="V842">
        <v>2</v>
      </c>
      <c r="W842">
        <v>500</v>
      </c>
      <c r="X842">
        <v>140</v>
      </c>
      <c r="Y842">
        <v>525</v>
      </c>
      <c r="Z842">
        <v>414.39999389648398</v>
      </c>
      <c r="AA842">
        <v>19.200000762939499</v>
      </c>
    </row>
    <row r="843" spans="22:27" x14ac:dyDescent="0.25">
      <c r="V843">
        <v>2</v>
      </c>
      <c r="W843">
        <v>500</v>
      </c>
      <c r="X843">
        <v>200</v>
      </c>
      <c r="Y843">
        <v>525</v>
      </c>
      <c r="Z843">
        <v>414.39999389648398</v>
      </c>
      <c r="AA843">
        <v>23.200000762939499</v>
      </c>
    </row>
    <row r="844" spans="22:27" x14ac:dyDescent="0.25">
      <c r="V844">
        <v>2</v>
      </c>
      <c r="W844">
        <v>500</v>
      </c>
      <c r="X844">
        <v>200</v>
      </c>
      <c r="Y844">
        <v>550</v>
      </c>
      <c r="Z844">
        <v>434.20001220703102</v>
      </c>
      <c r="AA844">
        <v>23.200000762939499</v>
      </c>
    </row>
    <row r="845" spans="22:27" x14ac:dyDescent="0.25">
      <c r="V845">
        <v>2</v>
      </c>
      <c r="W845">
        <v>500</v>
      </c>
      <c r="X845">
        <v>200</v>
      </c>
      <c r="Y845">
        <v>550</v>
      </c>
      <c r="Z845">
        <v>434.20001220703102</v>
      </c>
      <c r="AA845">
        <v>23.200000762939499</v>
      </c>
    </row>
    <row r="846" spans="22:27" x14ac:dyDescent="0.25">
      <c r="V846">
        <v>2</v>
      </c>
      <c r="W846">
        <v>500</v>
      </c>
      <c r="X846">
        <v>200</v>
      </c>
      <c r="Y846">
        <v>525</v>
      </c>
      <c r="Z846">
        <v>414.39999389648398</v>
      </c>
      <c r="AA846">
        <v>23.200000762939499</v>
      </c>
    </row>
    <row r="847" spans="22:27" x14ac:dyDescent="0.25">
      <c r="V847">
        <v>2</v>
      </c>
      <c r="W847">
        <v>500</v>
      </c>
      <c r="X847">
        <v>200</v>
      </c>
      <c r="Y847">
        <v>525</v>
      </c>
      <c r="Z847">
        <v>414.39999389648398</v>
      </c>
      <c r="AA847">
        <v>23.200000762939499</v>
      </c>
    </row>
    <row r="848" spans="22:27" x14ac:dyDescent="0.25">
      <c r="V848">
        <v>2</v>
      </c>
      <c r="W848">
        <v>600</v>
      </c>
      <c r="X848">
        <v>100</v>
      </c>
      <c r="Y848">
        <v>630</v>
      </c>
      <c r="Z848">
        <v>497.29998779296898</v>
      </c>
      <c r="AA848">
        <v>16.100000381469702</v>
      </c>
    </row>
    <row r="849" spans="22:27" x14ac:dyDescent="0.25">
      <c r="V849">
        <v>2</v>
      </c>
      <c r="W849">
        <v>600</v>
      </c>
      <c r="X849">
        <v>100</v>
      </c>
      <c r="Y849">
        <v>660</v>
      </c>
      <c r="Z849">
        <v>521</v>
      </c>
      <c r="AA849">
        <v>16.100000381469702</v>
      </c>
    </row>
    <row r="850" spans="22:27" x14ac:dyDescent="0.25">
      <c r="V850">
        <v>2</v>
      </c>
      <c r="W850">
        <v>600</v>
      </c>
      <c r="X850">
        <v>100</v>
      </c>
      <c r="Y850">
        <v>660</v>
      </c>
      <c r="Z850">
        <v>521</v>
      </c>
      <c r="AA850">
        <v>16.100000381469702</v>
      </c>
    </row>
    <row r="851" spans="22:27" x14ac:dyDescent="0.25">
      <c r="V851">
        <v>2</v>
      </c>
      <c r="W851">
        <v>600</v>
      </c>
      <c r="X851">
        <v>100</v>
      </c>
      <c r="Y851">
        <v>630</v>
      </c>
      <c r="Z851">
        <v>497.29998779296898</v>
      </c>
      <c r="AA851">
        <v>16.100000381469702</v>
      </c>
    </row>
    <row r="852" spans="22:27" x14ac:dyDescent="0.25">
      <c r="V852">
        <v>2</v>
      </c>
      <c r="W852">
        <v>600</v>
      </c>
      <c r="X852">
        <v>100</v>
      </c>
      <c r="Y852">
        <v>630</v>
      </c>
      <c r="Z852">
        <v>497.29998779296898</v>
      </c>
      <c r="AA852">
        <v>16.100000381469702</v>
      </c>
    </row>
    <row r="853" spans="22:27" x14ac:dyDescent="0.25">
      <c r="V853">
        <v>3</v>
      </c>
      <c r="W853">
        <v>50</v>
      </c>
      <c r="X853">
        <v>75</v>
      </c>
      <c r="Y853">
        <v>51</v>
      </c>
      <c r="Z853">
        <v>41.5</v>
      </c>
      <c r="AA853">
        <v>18.700000762939499</v>
      </c>
    </row>
    <row r="854" spans="22:27" x14ac:dyDescent="0.25">
      <c r="V854">
        <v>3</v>
      </c>
      <c r="W854">
        <v>50</v>
      </c>
      <c r="X854">
        <v>100</v>
      </c>
      <c r="Y854">
        <v>52.5</v>
      </c>
      <c r="Z854">
        <v>42.700000762939503</v>
      </c>
      <c r="AA854">
        <v>21.799999237060501</v>
      </c>
    </row>
    <row r="855" spans="22:27" x14ac:dyDescent="0.25">
      <c r="V855">
        <v>3</v>
      </c>
      <c r="W855">
        <v>50</v>
      </c>
      <c r="X855">
        <v>110</v>
      </c>
      <c r="Y855">
        <v>52.5</v>
      </c>
      <c r="Z855">
        <v>42.700000762939503</v>
      </c>
      <c r="AA855">
        <v>22.899999618530298</v>
      </c>
    </row>
    <row r="856" spans="22:27" x14ac:dyDescent="0.25">
      <c r="V856">
        <v>3</v>
      </c>
      <c r="W856">
        <v>50</v>
      </c>
      <c r="X856">
        <v>115</v>
      </c>
      <c r="Y856">
        <v>52.5</v>
      </c>
      <c r="Z856">
        <v>42.700000762939503</v>
      </c>
      <c r="AA856">
        <v>23.5</v>
      </c>
    </row>
    <row r="857" spans="22:27" x14ac:dyDescent="0.25">
      <c r="V857">
        <v>3</v>
      </c>
      <c r="W857">
        <v>50</v>
      </c>
      <c r="X857">
        <v>125</v>
      </c>
      <c r="Y857">
        <v>52.5</v>
      </c>
      <c r="Z857">
        <v>42.700000762939503</v>
      </c>
      <c r="AA857">
        <v>24.600000381469702</v>
      </c>
    </row>
    <row r="858" spans="22:27" x14ac:dyDescent="0.25">
      <c r="V858">
        <v>3</v>
      </c>
      <c r="W858">
        <v>50</v>
      </c>
      <c r="X858">
        <v>135</v>
      </c>
      <c r="Y858">
        <v>52.5</v>
      </c>
      <c r="Z858">
        <v>42.700000762939503</v>
      </c>
      <c r="AA858">
        <v>26.200000762939499</v>
      </c>
    </row>
    <row r="859" spans="22:27" x14ac:dyDescent="0.25">
      <c r="V859">
        <v>3</v>
      </c>
      <c r="W859">
        <v>50</v>
      </c>
      <c r="X859">
        <v>150</v>
      </c>
      <c r="Y859">
        <v>52.5</v>
      </c>
      <c r="Z859">
        <v>42.700000762939503</v>
      </c>
      <c r="AA859">
        <v>27.899999618530298</v>
      </c>
    </row>
    <row r="860" spans="22:27" x14ac:dyDescent="0.25">
      <c r="V860">
        <v>3</v>
      </c>
      <c r="W860">
        <v>60</v>
      </c>
      <c r="X860">
        <v>75</v>
      </c>
      <c r="Y860">
        <v>61.200000762939503</v>
      </c>
      <c r="Z860">
        <v>49.799999237060497</v>
      </c>
      <c r="AA860">
        <v>18.200000762939499</v>
      </c>
    </row>
    <row r="861" spans="22:27" x14ac:dyDescent="0.25">
      <c r="V861">
        <v>3</v>
      </c>
      <c r="W861">
        <v>60</v>
      </c>
      <c r="X861">
        <v>100</v>
      </c>
      <c r="Y861">
        <v>63</v>
      </c>
      <c r="Z861">
        <v>51.299999237060497</v>
      </c>
      <c r="AA861">
        <v>20.600000381469702</v>
      </c>
    </row>
    <row r="862" spans="22:27" x14ac:dyDescent="0.25">
      <c r="V862">
        <v>3</v>
      </c>
      <c r="W862">
        <v>60</v>
      </c>
      <c r="X862">
        <v>110</v>
      </c>
      <c r="Y862">
        <v>63</v>
      </c>
      <c r="Z862">
        <v>51.299999237060497</v>
      </c>
      <c r="AA862">
        <v>21.399999618530298</v>
      </c>
    </row>
    <row r="863" spans="22:27" x14ac:dyDescent="0.25">
      <c r="V863">
        <v>3</v>
      </c>
      <c r="W863">
        <v>60</v>
      </c>
      <c r="X863">
        <v>115</v>
      </c>
      <c r="Y863">
        <v>63</v>
      </c>
      <c r="Z863">
        <v>51.299999237060497</v>
      </c>
      <c r="AA863">
        <v>22.200000762939499</v>
      </c>
    </row>
    <row r="864" spans="22:27" x14ac:dyDescent="0.25">
      <c r="V864">
        <v>3</v>
      </c>
      <c r="W864">
        <v>60</v>
      </c>
      <c r="X864">
        <v>125</v>
      </c>
      <c r="Y864">
        <v>63</v>
      </c>
      <c r="Z864">
        <v>51.299999237060497</v>
      </c>
      <c r="AA864">
        <v>23.299999237060501</v>
      </c>
    </row>
    <row r="865" spans="22:27" x14ac:dyDescent="0.25">
      <c r="V865">
        <v>3</v>
      </c>
      <c r="W865">
        <v>60</v>
      </c>
      <c r="X865">
        <v>135</v>
      </c>
      <c r="Y865">
        <v>63</v>
      </c>
      <c r="Z865">
        <v>51.299999237060497</v>
      </c>
      <c r="AA865">
        <v>24.700000762939499</v>
      </c>
    </row>
    <row r="866" spans="22:27" x14ac:dyDescent="0.25">
      <c r="V866">
        <v>3</v>
      </c>
      <c r="W866">
        <v>60</v>
      </c>
      <c r="X866">
        <v>150</v>
      </c>
      <c r="Y866">
        <v>63</v>
      </c>
      <c r="Z866">
        <v>51.299999237060497</v>
      </c>
      <c r="AA866">
        <v>26.399999618530298</v>
      </c>
    </row>
    <row r="867" spans="22:27" x14ac:dyDescent="0.25">
      <c r="V867">
        <v>3</v>
      </c>
      <c r="W867">
        <v>75</v>
      </c>
      <c r="X867">
        <v>75</v>
      </c>
      <c r="Y867">
        <v>76.5</v>
      </c>
      <c r="Z867">
        <v>62.200000762939503</v>
      </c>
      <c r="AA867">
        <v>16.899999618530298</v>
      </c>
    </row>
    <row r="868" spans="22:27" x14ac:dyDescent="0.25">
      <c r="V868">
        <v>3</v>
      </c>
      <c r="W868">
        <v>75</v>
      </c>
      <c r="X868">
        <v>100</v>
      </c>
      <c r="Y868">
        <v>78.800003051757798</v>
      </c>
      <c r="Z868">
        <v>64.099998474121094</v>
      </c>
      <c r="AA868">
        <v>19.399999618530298</v>
      </c>
    </row>
    <row r="869" spans="22:27" x14ac:dyDescent="0.25">
      <c r="V869">
        <v>3</v>
      </c>
      <c r="W869">
        <v>75</v>
      </c>
      <c r="X869">
        <v>110</v>
      </c>
      <c r="Y869">
        <v>78.800003051757798</v>
      </c>
      <c r="Z869">
        <v>64.099998474121094</v>
      </c>
      <c r="AA869">
        <v>20.299999237060501</v>
      </c>
    </row>
    <row r="870" spans="22:27" x14ac:dyDescent="0.25">
      <c r="V870">
        <v>3</v>
      </c>
      <c r="W870">
        <v>75</v>
      </c>
      <c r="X870">
        <v>115</v>
      </c>
      <c r="Y870">
        <v>78.800003051757798</v>
      </c>
      <c r="Z870">
        <v>64.099998474121094</v>
      </c>
      <c r="AA870">
        <v>20.799999237060501</v>
      </c>
    </row>
    <row r="871" spans="22:27" x14ac:dyDescent="0.25">
      <c r="V871">
        <v>3</v>
      </c>
      <c r="W871">
        <v>75</v>
      </c>
      <c r="X871">
        <v>125</v>
      </c>
      <c r="Y871">
        <v>78.800003051757798</v>
      </c>
      <c r="Z871">
        <v>64.099998474121094</v>
      </c>
      <c r="AA871">
        <v>22</v>
      </c>
    </row>
    <row r="872" spans="22:27" x14ac:dyDescent="0.25">
      <c r="V872">
        <v>3</v>
      </c>
      <c r="W872">
        <v>75</v>
      </c>
      <c r="X872">
        <v>135</v>
      </c>
      <c r="Y872">
        <v>78.800003051757798</v>
      </c>
      <c r="Z872">
        <v>64.099998474121094</v>
      </c>
      <c r="AA872">
        <v>23.200000762939499</v>
      </c>
    </row>
    <row r="873" spans="22:27" x14ac:dyDescent="0.25">
      <c r="V873">
        <v>3</v>
      </c>
      <c r="W873">
        <v>75</v>
      </c>
      <c r="X873">
        <v>150</v>
      </c>
      <c r="Y873">
        <v>78.800003051757798</v>
      </c>
      <c r="Z873">
        <v>64.099998474121094</v>
      </c>
      <c r="AA873">
        <v>24.799999237060501</v>
      </c>
    </row>
    <row r="874" spans="22:27" x14ac:dyDescent="0.25">
      <c r="V874">
        <v>3</v>
      </c>
      <c r="W874">
        <v>100</v>
      </c>
      <c r="X874">
        <v>75</v>
      </c>
      <c r="Y874">
        <v>102</v>
      </c>
      <c r="Z874">
        <v>83</v>
      </c>
      <c r="AA874">
        <v>15.8999996185303</v>
      </c>
    </row>
    <row r="875" spans="22:27" x14ac:dyDescent="0.25">
      <c r="V875">
        <v>3</v>
      </c>
      <c r="W875">
        <v>100</v>
      </c>
      <c r="X875">
        <v>100</v>
      </c>
      <c r="Y875">
        <v>105</v>
      </c>
      <c r="Z875">
        <v>85.400001525878906</v>
      </c>
      <c r="AA875">
        <v>18.399999618530298</v>
      </c>
    </row>
    <row r="876" spans="22:27" x14ac:dyDescent="0.25">
      <c r="V876">
        <v>3</v>
      </c>
      <c r="W876">
        <v>100</v>
      </c>
      <c r="X876">
        <v>110</v>
      </c>
      <c r="Y876">
        <v>105</v>
      </c>
      <c r="Z876">
        <v>85.400001525878906</v>
      </c>
      <c r="AA876">
        <v>19.299999237060501</v>
      </c>
    </row>
    <row r="877" spans="22:27" x14ac:dyDescent="0.25">
      <c r="V877">
        <v>3</v>
      </c>
      <c r="W877">
        <v>100</v>
      </c>
      <c r="X877">
        <v>115</v>
      </c>
      <c r="Y877">
        <v>105</v>
      </c>
      <c r="Z877">
        <v>85.400001525878906</v>
      </c>
      <c r="AA877">
        <v>19.799999237060501</v>
      </c>
    </row>
    <row r="878" spans="22:27" x14ac:dyDescent="0.25">
      <c r="V878">
        <v>3</v>
      </c>
      <c r="W878">
        <v>100</v>
      </c>
      <c r="X878">
        <v>125</v>
      </c>
      <c r="Y878">
        <v>105</v>
      </c>
      <c r="Z878">
        <v>85.400001525878906</v>
      </c>
      <c r="AA878">
        <v>20.5</v>
      </c>
    </row>
    <row r="879" spans="22:27" x14ac:dyDescent="0.25">
      <c r="V879">
        <v>3</v>
      </c>
      <c r="W879">
        <v>100</v>
      </c>
      <c r="X879">
        <v>135</v>
      </c>
      <c r="Y879">
        <v>105</v>
      </c>
      <c r="Z879">
        <v>85.400001525878906</v>
      </c>
      <c r="AA879">
        <v>21.899999618530298</v>
      </c>
    </row>
    <row r="880" spans="22:27" x14ac:dyDescent="0.25">
      <c r="V880">
        <v>3</v>
      </c>
      <c r="W880">
        <v>100</v>
      </c>
      <c r="X880">
        <v>150</v>
      </c>
      <c r="Y880">
        <v>105</v>
      </c>
      <c r="Z880">
        <v>85.400001525878906</v>
      </c>
      <c r="AA880">
        <v>22.200000762939499</v>
      </c>
    </row>
    <row r="881" spans="22:27" x14ac:dyDescent="0.25">
      <c r="V881">
        <v>3</v>
      </c>
      <c r="W881">
        <v>125</v>
      </c>
      <c r="X881">
        <v>75</v>
      </c>
      <c r="Y881">
        <v>127.5</v>
      </c>
      <c r="Z881">
        <v>102.90000152587901</v>
      </c>
      <c r="AA881">
        <v>14.5</v>
      </c>
    </row>
    <row r="882" spans="22:27" x14ac:dyDescent="0.25">
      <c r="V882">
        <v>3</v>
      </c>
      <c r="W882">
        <v>125</v>
      </c>
      <c r="X882">
        <v>100</v>
      </c>
      <c r="Y882">
        <v>131.30000305175801</v>
      </c>
      <c r="Z882">
        <v>106</v>
      </c>
      <c r="AA882">
        <v>17</v>
      </c>
    </row>
    <row r="883" spans="22:27" x14ac:dyDescent="0.25">
      <c r="V883">
        <v>3</v>
      </c>
      <c r="W883">
        <v>125</v>
      </c>
      <c r="X883">
        <v>110</v>
      </c>
      <c r="Y883">
        <v>131.30000305175801</v>
      </c>
      <c r="Z883">
        <v>106</v>
      </c>
      <c r="AA883">
        <v>18</v>
      </c>
    </row>
    <row r="884" spans="22:27" x14ac:dyDescent="0.25">
      <c r="V884">
        <v>3</v>
      </c>
      <c r="W884">
        <v>125</v>
      </c>
      <c r="X884">
        <v>115</v>
      </c>
      <c r="Y884">
        <v>131.30000305175801</v>
      </c>
      <c r="Z884">
        <v>106</v>
      </c>
      <c r="AA884">
        <v>18.5</v>
      </c>
    </row>
    <row r="885" spans="22:27" x14ac:dyDescent="0.25">
      <c r="V885">
        <v>3</v>
      </c>
      <c r="W885">
        <v>125</v>
      </c>
      <c r="X885">
        <v>125</v>
      </c>
      <c r="Y885">
        <v>131.30000305175801</v>
      </c>
      <c r="Z885">
        <v>106</v>
      </c>
      <c r="AA885">
        <v>19.299999237060501</v>
      </c>
    </row>
    <row r="886" spans="22:27" x14ac:dyDescent="0.25">
      <c r="V886">
        <v>3</v>
      </c>
      <c r="W886">
        <v>125</v>
      </c>
      <c r="X886">
        <v>135</v>
      </c>
      <c r="Y886">
        <v>131.30000305175801</v>
      </c>
      <c r="Z886">
        <v>106</v>
      </c>
      <c r="AA886">
        <v>20.299999237060501</v>
      </c>
    </row>
    <row r="887" spans="22:27" x14ac:dyDescent="0.25">
      <c r="V887">
        <v>3</v>
      </c>
      <c r="W887">
        <v>125</v>
      </c>
      <c r="X887">
        <v>150</v>
      </c>
      <c r="Y887">
        <v>131.30000305175801</v>
      </c>
      <c r="Z887">
        <v>106</v>
      </c>
      <c r="AA887">
        <v>22</v>
      </c>
    </row>
    <row r="888" spans="22:27" x14ac:dyDescent="0.25">
      <c r="V888">
        <v>3</v>
      </c>
      <c r="W888">
        <v>150</v>
      </c>
      <c r="X888">
        <v>75</v>
      </c>
      <c r="Y888">
        <v>153</v>
      </c>
      <c r="Z888">
        <v>122.699996948242</v>
      </c>
      <c r="AA888">
        <v>14.6000003814697</v>
      </c>
    </row>
    <row r="889" spans="22:27" x14ac:dyDescent="0.25">
      <c r="V889">
        <v>3</v>
      </c>
      <c r="W889">
        <v>150</v>
      </c>
      <c r="X889">
        <v>100</v>
      </c>
      <c r="Y889">
        <v>157.5</v>
      </c>
      <c r="Z889">
        <v>126.300003051758</v>
      </c>
      <c r="AA889">
        <v>16.899999618530298</v>
      </c>
    </row>
    <row r="890" spans="22:27" x14ac:dyDescent="0.25">
      <c r="V890">
        <v>3</v>
      </c>
      <c r="W890">
        <v>150</v>
      </c>
      <c r="X890">
        <v>110</v>
      </c>
      <c r="Y890">
        <v>157.5</v>
      </c>
      <c r="Z890">
        <v>126.300003051758</v>
      </c>
      <c r="AA890">
        <v>17.799999237060501</v>
      </c>
    </row>
    <row r="891" spans="22:27" x14ac:dyDescent="0.25">
      <c r="V891">
        <v>3</v>
      </c>
      <c r="W891">
        <v>150</v>
      </c>
      <c r="X891">
        <v>115</v>
      </c>
      <c r="Y891">
        <v>157.5</v>
      </c>
      <c r="Z891">
        <v>126.300003051758</v>
      </c>
      <c r="AA891">
        <v>18.299999237060501</v>
      </c>
    </row>
    <row r="892" spans="22:27" x14ac:dyDescent="0.25">
      <c r="V892">
        <v>3</v>
      </c>
      <c r="W892">
        <v>150</v>
      </c>
      <c r="X892">
        <v>125</v>
      </c>
      <c r="Y892">
        <v>157.5</v>
      </c>
      <c r="Z892">
        <v>126.300003051758</v>
      </c>
      <c r="AA892">
        <v>19.200000762939499</v>
      </c>
    </row>
    <row r="893" spans="22:27" x14ac:dyDescent="0.25">
      <c r="V893">
        <v>3</v>
      </c>
      <c r="W893">
        <v>150</v>
      </c>
      <c r="X893">
        <v>135</v>
      </c>
      <c r="Y893">
        <v>157.5</v>
      </c>
      <c r="Z893">
        <v>126.300003051758</v>
      </c>
      <c r="AA893">
        <v>20.100000381469702</v>
      </c>
    </row>
    <row r="894" spans="22:27" x14ac:dyDescent="0.25">
      <c r="V894">
        <v>3</v>
      </c>
      <c r="W894">
        <v>150</v>
      </c>
      <c r="X894">
        <v>150</v>
      </c>
      <c r="Y894">
        <v>157.5</v>
      </c>
      <c r="Z894">
        <v>126.300003051758</v>
      </c>
      <c r="AA894">
        <v>21.600000381469702</v>
      </c>
    </row>
    <row r="895" spans="22:27" x14ac:dyDescent="0.25">
      <c r="V895">
        <v>3</v>
      </c>
      <c r="W895">
        <v>200</v>
      </c>
      <c r="X895">
        <v>75</v>
      </c>
      <c r="Y895">
        <v>204</v>
      </c>
      <c r="Z895">
        <v>161.69999694824199</v>
      </c>
      <c r="AA895">
        <v>14.5</v>
      </c>
    </row>
    <row r="896" spans="22:27" x14ac:dyDescent="0.25">
      <c r="V896">
        <v>3</v>
      </c>
      <c r="W896">
        <v>200</v>
      </c>
      <c r="X896">
        <v>100</v>
      </c>
      <c r="Y896">
        <v>210</v>
      </c>
      <c r="Z896">
        <v>166.5</v>
      </c>
      <c r="AA896">
        <v>16.700000762939499</v>
      </c>
    </row>
    <row r="897" spans="22:27" x14ac:dyDescent="0.25">
      <c r="V897">
        <v>3</v>
      </c>
      <c r="W897">
        <v>200</v>
      </c>
      <c r="X897">
        <v>110</v>
      </c>
      <c r="Y897">
        <v>210</v>
      </c>
      <c r="Z897">
        <v>166.5</v>
      </c>
      <c r="AA897">
        <v>17.5</v>
      </c>
    </row>
    <row r="898" spans="22:27" x14ac:dyDescent="0.25">
      <c r="V898">
        <v>3</v>
      </c>
      <c r="W898">
        <v>200</v>
      </c>
      <c r="X898">
        <v>115</v>
      </c>
      <c r="Y898">
        <v>210</v>
      </c>
      <c r="Z898">
        <v>166.5</v>
      </c>
      <c r="AA898">
        <v>18</v>
      </c>
    </row>
    <row r="899" spans="22:27" x14ac:dyDescent="0.25">
      <c r="V899">
        <v>3</v>
      </c>
      <c r="W899">
        <v>200</v>
      </c>
      <c r="X899">
        <v>125</v>
      </c>
      <c r="Y899">
        <v>210</v>
      </c>
      <c r="Z899">
        <v>166.5</v>
      </c>
      <c r="AA899">
        <v>18.899999618530298</v>
      </c>
    </row>
    <row r="900" spans="22:27" x14ac:dyDescent="0.25">
      <c r="V900">
        <v>3</v>
      </c>
      <c r="W900">
        <v>200</v>
      </c>
      <c r="X900">
        <v>135</v>
      </c>
      <c r="Y900">
        <v>210</v>
      </c>
      <c r="Z900">
        <v>166.5</v>
      </c>
      <c r="AA900">
        <v>19.700000762939499</v>
      </c>
    </row>
    <row r="901" spans="22:27" x14ac:dyDescent="0.25">
      <c r="V901">
        <v>3</v>
      </c>
      <c r="W901">
        <v>200</v>
      </c>
      <c r="X901">
        <v>150</v>
      </c>
      <c r="Y901">
        <v>210</v>
      </c>
      <c r="Z901">
        <v>166.5</v>
      </c>
      <c r="AA901">
        <v>20.700000762939499</v>
      </c>
    </row>
    <row r="902" spans="22:27" x14ac:dyDescent="0.25">
      <c r="V902">
        <v>3</v>
      </c>
      <c r="W902">
        <v>250</v>
      </c>
      <c r="X902">
        <v>75</v>
      </c>
      <c r="Y902">
        <v>255</v>
      </c>
      <c r="Z902">
        <v>203.19999694824199</v>
      </c>
      <c r="AA902">
        <v>14.199999809265099</v>
      </c>
    </row>
    <row r="903" spans="22:27" x14ac:dyDescent="0.25">
      <c r="V903">
        <v>3</v>
      </c>
      <c r="W903">
        <v>250</v>
      </c>
      <c r="X903">
        <v>100</v>
      </c>
      <c r="Y903">
        <v>262.5</v>
      </c>
      <c r="Z903">
        <v>209.19999694824199</v>
      </c>
      <c r="AA903">
        <v>16.100000381469702</v>
      </c>
    </row>
    <row r="904" spans="22:27" x14ac:dyDescent="0.25">
      <c r="V904">
        <v>3</v>
      </c>
      <c r="W904">
        <v>250</v>
      </c>
      <c r="X904">
        <v>110</v>
      </c>
      <c r="Y904">
        <v>262.5</v>
      </c>
      <c r="Z904">
        <v>209.19999694824199</v>
      </c>
      <c r="AA904">
        <v>17</v>
      </c>
    </row>
    <row r="905" spans="22:27" x14ac:dyDescent="0.25">
      <c r="V905">
        <v>3</v>
      </c>
      <c r="W905">
        <v>250</v>
      </c>
      <c r="X905">
        <v>115</v>
      </c>
      <c r="Y905">
        <v>262.5</v>
      </c>
      <c r="Z905">
        <v>209.19999694824199</v>
      </c>
      <c r="AA905">
        <v>17.299999237060501</v>
      </c>
    </row>
    <row r="906" spans="22:27" x14ac:dyDescent="0.25">
      <c r="V906">
        <v>3</v>
      </c>
      <c r="W906">
        <v>250</v>
      </c>
      <c r="X906">
        <v>125</v>
      </c>
      <c r="Y906">
        <v>262.5</v>
      </c>
      <c r="Z906">
        <v>209.19999694824199</v>
      </c>
      <c r="AA906">
        <v>18.200000762939499</v>
      </c>
    </row>
    <row r="907" spans="22:27" x14ac:dyDescent="0.25">
      <c r="V907">
        <v>3</v>
      </c>
      <c r="W907">
        <v>250</v>
      </c>
      <c r="X907">
        <v>135</v>
      </c>
      <c r="Y907">
        <v>262.5</v>
      </c>
      <c r="Z907">
        <v>209.19999694824199</v>
      </c>
      <c r="AA907">
        <v>19</v>
      </c>
    </row>
    <row r="908" spans="22:27" x14ac:dyDescent="0.25">
      <c r="V908">
        <v>3</v>
      </c>
      <c r="W908">
        <v>250</v>
      </c>
      <c r="X908">
        <v>150</v>
      </c>
      <c r="Y908">
        <v>262.5</v>
      </c>
      <c r="Z908">
        <v>209.19999694824199</v>
      </c>
      <c r="AA908">
        <v>20.200000762939499</v>
      </c>
    </row>
    <row r="909" spans="22:27" x14ac:dyDescent="0.25">
      <c r="V909">
        <v>3</v>
      </c>
      <c r="W909">
        <v>300</v>
      </c>
      <c r="X909">
        <v>75</v>
      </c>
      <c r="Y909">
        <v>306</v>
      </c>
      <c r="Z909">
        <v>242.60000610351599</v>
      </c>
      <c r="AA909">
        <v>14.300000190734901</v>
      </c>
    </row>
    <row r="910" spans="22:27" x14ac:dyDescent="0.25">
      <c r="V910">
        <v>3</v>
      </c>
      <c r="W910">
        <v>300</v>
      </c>
      <c r="X910">
        <v>100</v>
      </c>
      <c r="Y910">
        <v>315</v>
      </c>
      <c r="Z910">
        <v>249.69999694824199</v>
      </c>
      <c r="AA910">
        <v>16.200000762939499</v>
      </c>
    </row>
    <row r="911" spans="22:27" x14ac:dyDescent="0.25">
      <c r="V911">
        <v>3</v>
      </c>
      <c r="W911">
        <v>300</v>
      </c>
      <c r="X911">
        <v>110</v>
      </c>
      <c r="Y911">
        <v>315</v>
      </c>
      <c r="Z911">
        <v>249.69999694824199</v>
      </c>
      <c r="AA911">
        <v>17</v>
      </c>
    </row>
    <row r="912" spans="22:27" x14ac:dyDescent="0.25">
      <c r="V912">
        <v>3</v>
      </c>
      <c r="W912">
        <v>300</v>
      </c>
      <c r="X912">
        <v>115</v>
      </c>
      <c r="Y912">
        <v>315</v>
      </c>
      <c r="Z912">
        <v>249.69999694824199</v>
      </c>
      <c r="AA912">
        <v>17.299999237060501</v>
      </c>
    </row>
    <row r="913" spans="22:27" x14ac:dyDescent="0.25">
      <c r="V913">
        <v>3</v>
      </c>
      <c r="W913">
        <v>300</v>
      </c>
      <c r="X913">
        <v>125</v>
      </c>
      <c r="Y913">
        <v>315</v>
      </c>
      <c r="Z913">
        <v>249.69999694824199</v>
      </c>
      <c r="AA913">
        <v>18.100000381469702</v>
      </c>
    </row>
    <row r="914" spans="22:27" x14ac:dyDescent="0.25">
      <c r="V914">
        <v>3</v>
      </c>
      <c r="W914">
        <v>300</v>
      </c>
      <c r="X914">
        <v>135</v>
      </c>
      <c r="Y914">
        <v>315</v>
      </c>
      <c r="Z914">
        <v>249.69999694824199</v>
      </c>
      <c r="AA914">
        <v>18.799999237060501</v>
      </c>
    </row>
    <row r="915" spans="22:27" x14ac:dyDescent="0.25">
      <c r="V915">
        <v>3</v>
      </c>
      <c r="W915">
        <v>300</v>
      </c>
      <c r="X915">
        <v>150</v>
      </c>
      <c r="Y915">
        <v>315</v>
      </c>
      <c r="Z915">
        <v>249.69999694824199</v>
      </c>
      <c r="AA915">
        <v>19.899999618530298</v>
      </c>
    </row>
    <row r="916" spans="22:27" x14ac:dyDescent="0.25">
      <c r="V916">
        <v>3</v>
      </c>
      <c r="W916">
        <v>350</v>
      </c>
      <c r="X916">
        <v>75</v>
      </c>
      <c r="Y916">
        <v>357</v>
      </c>
      <c r="Z916">
        <v>281.79998779296898</v>
      </c>
      <c r="AA916">
        <v>14.800000190734901</v>
      </c>
    </row>
    <row r="917" spans="22:27" x14ac:dyDescent="0.25">
      <c r="V917">
        <v>3</v>
      </c>
      <c r="W917">
        <v>350</v>
      </c>
      <c r="X917">
        <v>100</v>
      </c>
      <c r="Y917">
        <v>367.5</v>
      </c>
      <c r="Z917">
        <v>290.10000610351602</v>
      </c>
      <c r="AA917">
        <v>16.600000381469702</v>
      </c>
    </row>
    <row r="918" spans="22:27" x14ac:dyDescent="0.25">
      <c r="V918">
        <v>3</v>
      </c>
      <c r="W918">
        <v>350</v>
      </c>
      <c r="X918">
        <v>110</v>
      </c>
      <c r="Y918">
        <v>367.5</v>
      </c>
      <c r="Z918">
        <v>290.10000610351602</v>
      </c>
      <c r="AA918">
        <v>12.300000190734901</v>
      </c>
    </row>
    <row r="919" spans="22:27" x14ac:dyDescent="0.25">
      <c r="V919">
        <v>3</v>
      </c>
      <c r="W919">
        <v>350</v>
      </c>
      <c r="X919">
        <v>115</v>
      </c>
      <c r="Y919">
        <v>367.5</v>
      </c>
      <c r="Z919">
        <v>290.10000610351602</v>
      </c>
      <c r="AA919">
        <v>17.799999237060501</v>
      </c>
    </row>
    <row r="920" spans="22:27" x14ac:dyDescent="0.25">
      <c r="V920">
        <v>3</v>
      </c>
      <c r="W920">
        <v>350</v>
      </c>
      <c r="X920">
        <v>125</v>
      </c>
      <c r="Y920">
        <v>367.5</v>
      </c>
      <c r="Z920">
        <v>290.10000610351602</v>
      </c>
      <c r="AA920">
        <v>18.5</v>
      </c>
    </row>
    <row r="921" spans="22:27" x14ac:dyDescent="0.25">
      <c r="V921">
        <v>3</v>
      </c>
      <c r="W921">
        <v>350</v>
      </c>
      <c r="X921">
        <v>135</v>
      </c>
      <c r="Y921">
        <v>367.5</v>
      </c>
      <c r="Z921">
        <v>290.10000610351602</v>
      </c>
      <c r="AA921">
        <v>19.299999237060501</v>
      </c>
    </row>
    <row r="922" spans="22:27" x14ac:dyDescent="0.25">
      <c r="V922">
        <v>3</v>
      </c>
      <c r="W922">
        <v>400</v>
      </c>
      <c r="X922">
        <v>75</v>
      </c>
      <c r="Y922">
        <v>408</v>
      </c>
      <c r="Z922">
        <v>322.10000610351602</v>
      </c>
      <c r="AA922">
        <v>13.699999809265099</v>
      </c>
    </row>
    <row r="923" spans="22:27" x14ac:dyDescent="0.25">
      <c r="V923">
        <v>3</v>
      </c>
      <c r="W923">
        <v>400</v>
      </c>
      <c r="X923">
        <v>100</v>
      </c>
      <c r="Y923">
        <v>420</v>
      </c>
      <c r="Z923">
        <v>331.60000610351602</v>
      </c>
      <c r="AA923">
        <v>15.6000003814697</v>
      </c>
    </row>
    <row r="924" spans="22:27" x14ac:dyDescent="0.25">
      <c r="V924">
        <v>3</v>
      </c>
      <c r="W924">
        <v>400</v>
      </c>
      <c r="X924">
        <v>110</v>
      </c>
      <c r="Y924">
        <v>420</v>
      </c>
      <c r="Z924">
        <v>331.60000610351602</v>
      </c>
      <c r="AA924">
        <v>16.399999618530298</v>
      </c>
    </row>
    <row r="925" spans="22:27" x14ac:dyDescent="0.25">
      <c r="V925">
        <v>3</v>
      </c>
      <c r="W925">
        <v>400</v>
      </c>
      <c r="X925">
        <v>115</v>
      </c>
      <c r="Y925">
        <v>420</v>
      </c>
      <c r="Z925">
        <v>331.60000610351602</v>
      </c>
      <c r="AA925">
        <v>16.799999237060501</v>
      </c>
    </row>
    <row r="926" spans="22:27" x14ac:dyDescent="0.25">
      <c r="V926">
        <v>3</v>
      </c>
      <c r="W926">
        <v>400</v>
      </c>
      <c r="X926">
        <v>125</v>
      </c>
      <c r="Y926">
        <v>420</v>
      </c>
      <c r="Z926">
        <v>331.60000610351602</v>
      </c>
      <c r="AA926">
        <v>17.700000762939499</v>
      </c>
    </row>
    <row r="927" spans="22:27" x14ac:dyDescent="0.25">
      <c r="V927">
        <v>3</v>
      </c>
      <c r="W927">
        <v>400</v>
      </c>
      <c r="X927">
        <v>135</v>
      </c>
      <c r="Y927">
        <v>420</v>
      </c>
      <c r="Z927">
        <v>331.60000610351602</v>
      </c>
      <c r="AA927">
        <v>18.5</v>
      </c>
    </row>
    <row r="928" spans="22:27" x14ac:dyDescent="0.25">
      <c r="V928">
        <v>3</v>
      </c>
      <c r="W928">
        <v>400</v>
      </c>
      <c r="X928">
        <v>150</v>
      </c>
      <c r="Y928">
        <v>420</v>
      </c>
      <c r="Z928">
        <v>331.60000610351602</v>
      </c>
      <c r="AA928">
        <v>19.700000762939499</v>
      </c>
    </row>
    <row r="929" spans="22:27" x14ac:dyDescent="0.25">
      <c r="V929">
        <v>3</v>
      </c>
      <c r="W929">
        <v>450</v>
      </c>
      <c r="X929">
        <v>75</v>
      </c>
      <c r="Y929">
        <v>459</v>
      </c>
      <c r="Z929">
        <v>360.39999389648398</v>
      </c>
      <c r="AA929">
        <v>13.699999809265099</v>
      </c>
    </row>
    <row r="930" spans="22:27" x14ac:dyDescent="0.25">
      <c r="V930">
        <v>3</v>
      </c>
      <c r="W930">
        <v>450</v>
      </c>
      <c r="X930">
        <v>100</v>
      </c>
      <c r="Y930">
        <v>472.5</v>
      </c>
      <c r="Z930">
        <v>371</v>
      </c>
      <c r="AA930">
        <v>15.6000003814697</v>
      </c>
    </row>
    <row r="931" spans="22:27" x14ac:dyDescent="0.25">
      <c r="V931">
        <v>3</v>
      </c>
      <c r="W931">
        <v>450</v>
      </c>
      <c r="X931">
        <v>110</v>
      </c>
      <c r="Y931">
        <v>472.5</v>
      </c>
      <c r="Z931">
        <v>371</v>
      </c>
      <c r="AA931">
        <v>16.399999618530298</v>
      </c>
    </row>
    <row r="932" spans="22:27" x14ac:dyDescent="0.25">
      <c r="V932">
        <v>3</v>
      </c>
      <c r="W932">
        <v>450</v>
      </c>
      <c r="X932">
        <v>115</v>
      </c>
      <c r="Y932">
        <v>472.5</v>
      </c>
      <c r="Z932">
        <v>371</v>
      </c>
      <c r="AA932">
        <v>16.799999237060501</v>
      </c>
    </row>
    <row r="933" spans="22:27" x14ac:dyDescent="0.25">
      <c r="V933">
        <v>3</v>
      </c>
      <c r="W933">
        <v>450</v>
      </c>
      <c r="X933">
        <v>125</v>
      </c>
      <c r="Y933">
        <v>472.5</v>
      </c>
      <c r="Z933">
        <v>371</v>
      </c>
      <c r="AA933">
        <v>17.600000381469702</v>
      </c>
    </row>
    <row r="934" spans="22:27" x14ac:dyDescent="0.25">
      <c r="V934">
        <v>3</v>
      </c>
      <c r="W934">
        <v>450</v>
      </c>
      <c r="X934">
        <v>135</v>
      </c>
      <c r="Y934">
        <v>472.5</v>
      </c>
      <c r="Z934">
        <v>371</v>
      </c>
      <c r="AA934">
        <v>18.399999618530298</v>
      </c>
    </row>
    <row r="935" spans="22:27" x14ac:dyDescent="0.25">
      <c r="V935">
        <v>3</v>
      </c>
      <c r="W935">
        <v>450</v>
      </c>
      <c r="X935">
        <v>150</v>
      </c>
      <c r="Y935">
        <v>472.5</v>
      </c>
      <c r="Z935">
        <v>371</v>
      </c>
      <c r="AA935">
        <v>19.700000762939499</v>
      </c>
    </row>
    <row r="936" spans="22:27" x14ac:dyDescent="0.25">
      <c r="V936">
        <v>3</v>
      </c>
      <c r="W936">
        <v>500</v>
      </c>
      <c r="X936">
        <v>75</v>
      </c>
      <c r="Y936">
        <v>510</v>
      </c>
      <c r="Z936">
        <v>402.60000610351602</v>
      </c>
      <c r="AA936">
        <v>14.1000003814697</v>
      </c>
    </row>
    <row r="937" spans="22:27" x14ac:dyDescent="0.25">
      <c r="V937">
        <v>3</v>
      </c>
      <c r="W937">
        <v>500</v>
      </c>
      <c r="X937">
        <v>100</v>
      </c>
      <c r="Y937">
        <v>525</v>
      </c>
      <c r="Z937">
        <v>414.39999389648398</v>
      </c>
      <c r="AA937">
        <v>16.100000381469702</v>
      </c>
    </row>
    <row r="938" spans="22:27" x14ac:dyDescent="0.25">
      <c r="V938">
        <v>3</v>
      </c>
      <c r="W938">
        <v>500</v>
      </c>
      <c r="X938">
        <v>110</v>
      </c>
      <c r="Y938">
        <v>525</v>
      </c>
      <c r="Z938">
        <v>414.39999389648398</v>
      </c>
      <c r="AA938">
        <v>16.799999237060501</v>
      </c>
    </row>
    <row r="939" spans="22:27" x14ac:dyDescent="0.25">
      <c r="V939">
        <v>3</v>
      </c>
      <c r="W939">
        <v>500</v>
      </c>
      <c r="X939">
        <v>115</v>
      </c>
      <c r="Y939">
        <v>525</v>
      </c>
      <c r="Z939">
        <v>414.39999389648398</v>
      </c>
      <c r="AA939">
        <v>17.299999237060501</v>
      </c>
    </row>
    <row r="940" spans="22:27" x14ac:dyDescent="0.25">
      <c r="V940">
        <v>3</v>
      </c>
      <c r="W940">
        <v>500</v>
      </c>
      <c r="X940">
        <v>125</v>
      </c>
      <c r="Y940">
        <v>525</v>
      </c>
      <c r="Z940">
        <v>414.39999389648398</v>
      </c>
      <c r="AA940">
        <v>17.899999618530298</v>
      </c>
    </row>
    <row r="941" spans="22:27" x14ac:dyDescent="0.25">
      <c r="V941">
        <v>3</v>
      </c>
      <c r="W941">
        <v>500</v>
      </c>
      <c r="X941">
        <v>135</v>
      </c>
      <c r="Y941">
        <v>525</v>
      </c>
      <c r="Z941">
        <v>414.39999389648398</v>
      </c>
      <c r="AA941">
        <v>18.700000762939499</v>
      </c>
    </row>
    <row r="942" spans="22:27" x14ac:dyDescent="0.25">
      <c r="V942">
        <v>3</v>
      </c>
      <c r="W942">
        <v>500</v>
      </c>
      <c r="X942">
        <v>150</v>
      </c>
      <c r="Y942">
        <v>525</v>
      </c>
      <c r="Z942">
        <v>414.39999389648398</v>
      </c>
      <c r="AA942">
        <v>19.899999618530298</v>
      </c>
    </row>
    <row r="943" spans="22:27" x14ac:dyDescent="0.25">
      <c r="V943">
        <v>4</v>
      </c>
      <c r="W943">
        <v>5</v>
      </c>
      <c r="X943">
        <v>30</v>
      </c>
      <c r="Y943">
        <v>4.5</v>
      </c>
      <c r="Z943">
        <v>4</v>
      </c>
      <c r="AA943">
        <v>10.8999996185303</v>
      </c>
    </row>
    <row r="944" spans="22:27" x14ac:dyDescent="0.25">
      <c r="V944">
        <v>4</v>
      </c>
      <c r="W944">
        <v>5</v>
      </c>
      <c r="X944">
        <v>40</v>
      </c>
      <c r="Y944">
        <v>4.8000001907348597</v>
      </c>
      <c r="Z944">
        <v>4.1999998092651403</v>
      </c>
      <c r="AA944">
        <v>12.8999996185303</v>
      </c>
    </row>
    <row r="945" spans="22:27" x14ac:dyDescent="0.25">
      <c r="V945">
        <v>4</v>
      </c>
      <c r="W945">
        <v>5</v>
      </c>
      <c r="X945">
        <v>50</v>
      </c>
      <c r="Y945">
        <v>4.9000000953674299</v>
      </c>
      <c r="Z945">
        <v>4.3000001907348597</v>
      </c>
      <c r="AA945">
        <v>14.6000003814697</v>
      </c>
    </row>
    <row r="946" spans="22:27" x14ac:dyDescent="0.25">
      <c r="V946">
        <v>4</v>
      </c>
      <c r="W946">
        <v>5</v>
      </c>
      <c r="X946">
        <v>60</v>
      </c>
      <c r="Y946">
        <v>5</v>
      </c>
      <c r="Z946">
        <v>4.4000000953674299</v>
      </c>
      <c r="AA946">
        <v>16.100000381469702</v>
      </c>
    </row>
    <row r="947" spans="22:27" x14ac:dyDescent="0.25">
      <c r="V947">
        <v>4</v>
      </c>
      <c r="W947">
        <v>5</v>
      </c>
      <c r="X947">
        <v>70</v>
      </c>
      <c r="Y947">
        <v>5.0999999046325701</v>
      </c>
      <c r="Z947">
        <v>4.5</v>
      </c>
      <c r="AA947">
        <v>17.700000762939499</v>
      </c>
    </row>
    <row r="948" spans="22:27" x14ac:dyDescent="0.25">
      <c r="V948">
        <v>4</v>
      </c>
      <c r="W948">
        <v>5</v>
      </c>
      <c r="X948">
        <v>80</v>
      </c>
      <c r="Y948">
        <v>5.0999999046325701</v>
      </c>
      <c r="Z948">
        <v>4.5</v>
      </c>
      <c r="AA948">
        <v>19.299999237060501</v>
      </c>
    </row>
    <row r="949" spans="22:27" x14ac:dyDescent="0.25">
      <c r="V949">
        <v>4</v>
      </c>
      <c r="W949">
        <v>5</v>
      </c>
      <c r="X949">
        <v>90</v>
      </c>
      <c r="Y949">
        <v>5.1999998092651403</v>
      </c>
      <c r="Z949">
        <v>4.5</v>
      </c>
      <c r="AA949">
        <v>21</v>
      </c>
    </row>
    <row r="950" spans="22:27" x14ac:dyDescent="0.25">
      <c r="V950">
        <v>4</v>
      </c>
      <c r="W950">
        <v>5</v>
      </c>
      <c r="X950">
        <v>100</v>
      </c>
      <c r="Y950">
        <v>5.3000001907348597</v>
      </c>
      <c r="Z950">
        <v>4.5999999046325701</v>
      </c>
      <c r="AA950">
        <v>22.600000381469702</v>
      </c>
    </row>
    <row r="951" spans="22:27" x14ac:dyDescent="0.25">
      <c r="V951">
        <v>4</v>
      </c>
      <c r="W951">
        <v>5</v>
      </c>
      <c r="X951">
        <v>110</v>
      </c>
      <c r="Y951">
        <v>5.3000001907348597</v>
      </c>
      <c r="Z951">
        <v>4.5999999046325701</v>
      </c>
      <c r="AA951">
        <v>24.100000381469702</v>
      </c>
    </row>
    <row r="952" spans="22:27" x14ac:dyDescent="0.25">
      <c r="V952">
        <v>4</v>
      </c>
      <c r="W952">
        <v>5</v>
      </c>
      <c r="X952">
        <v>120</v>
      </c>
      <c r="Y952">
        <v>5.3000001907348597</v>
      </c>
      <c r="Z952">
        <v>4.5999999046325701</v>
      </c>
      <c r="AA952">
        <v>25.700000762939499</v>
      </c>
    </row>
    <row r="953" spans="22:27" x14ac:dyDescent="0.25">
      <c r="V953">
        <v>4</v>
      </c>
      <c r="W953">
        <v>5</v>
      </c>
      <c r="X953">
        <v>125</v>
      </c>
      <c r="Y953">
        <v>5.3000001907348597</v>
      </c>
      <c r="Z953">
        <v>4.5999999046325701</v>
      </c>
      <c r="AA953">
        <v>26.399999618530298</v>
      </c>
    </row>
    <row r="954" spans="22:27" x14ac:dyDescent="0.25">
      <c r="V954">
        <v>4</v>
      </c>
      <c r="W954">
        <v>7.5</v>
      </c>
      <c r="X954">
        <v>30</v>
      </c>
      <c r="Y954">
        <v>6.8000001907348597</v>
      </c>
      <c r="Z954">
        <v>5.8000001907348597</v>
      </c>
      <c r="AA954">
        <v>10.699999809265099</v>
      </c>
    </row>
    <row r="955" spans="22:27" x14ac:dyDescent="0.25">
      <c r="V955">
        <v>4</v>
      </c>
      <c r="W955">
        <v>7.5</v>
      </c>
      <c r="X955">
        <v>40</v>
      </c>
      <c r="Y955">
        <v>7.0999999046325701</v>
      </c>
      <c r="Z955">
        <v>6.0999999046325701</v>
      </c>
      <c r="AA955">
        <v>12.699999809265099</v>
      </c>
    </row>
    <row r="956" spans="22:27" x14ac:dyDescent="0.25">
      <c r="V956">
        <v>4</v>
      </c>
      <c r="W956">
        <v>7.5</v>
      </c>
      <c r="X956">
        <v>50</v>
      </c>
      <c r="Y956">
        <v>7.4000000953674299</v>
      </c>
      <c r="Z956">
        <v>6.3000001907348597</v>
      </c>
      <c r="AA956">
        <v>14.300000190734901</v>
      </c>
    </row>
    <row r="957" spans="22:27" x14ac:dyDescent="0.25">
      <c r="V957">
        <v>4</v>
      </c>
      <c r="W957">
        <v>7.5</v>
      </c>
      <c r="X957">
        <v>60</v>
      </c>
      <c r="Y957">
        <v>7.5</v>
      </c>
      <c r="Z957">
        <v>6.5</v>
      </c>
      <c r="AA957">
        <v>15.800000190734901</v>
      </c>
    </row>
    <row r="958" spans="22:27" x14ac:dyDescent="0.25">
      <c r="V958">
        <v>4</v>
      </c>
      <c r="W958">
        <v>7.5</v>
      </c>
      <c r="X958">
        <v>70</v>
      </c>
      <c r="Y958">
        <v>7.5999999046325701</v>
      </c>
      <c r="Z958">
        <v>6.5999999046325701</v>
      </c>
      <c r="AA958">
        <v>17.399999618530298</v>
      </c>
    </row>
    <row r="959" spans="22:27" x14ac:dyDescent="0.25">
      <c r="V959">
        <v>4</v>
      </c>
      <c r="W959">
        <v>7.5</v>
      </c>
      <c r="X959">
        <v>80</v>
      </c>
      <c r="Y959">
        <v>7.6999998092651403</v>
      </c>
      <c r="Z959">
        <v>6.5999999046325701</v>
      </c>
      <c r="AA959">
        <v>18.899999618530298</v>
      </c>
    </row>
    <row r="960" spans="22:27" x14ac:dyDescent="0.25">
      <c r="V960">
        <v>4</v>
      </c>
      <c r="W960">
        <v>7.5</v>
      </c>
      <c r="X960">
        <v>90</v>
      </c>
      <c r="Y960">
        <v>7.8000001907348597</v>
      </c>
      <c r="Z960">
        <v>6.6999998092651403</v>
      </c>
      <c r="AA960">
        <v>20.600000381469702</v>
      </c>
    </row>
    <row r="961" spans="22:27" x14ac:dyDescent="0.25">
      <c r="V961">
        <v>4</v>
      </c>
      <c r="W961">
        <v>7.5</v>
      </c>
      <c r="X961">
        <v>100</v>
      </c>
      <c r="Y961">
        <v>7.9000000953674299</v>
      </c>
      <c r="Z961">
        <v>6.8000001907348597</v>
      </c>
      <c r="AA961">
        <v>22.200000762939499</v>
      </c>
    </row>
    <row r="962" spans="22:27" x14ac:dyDescent="0.25">
      <c r="V962">
        <v>4</v>
      </c>
      <c r="W962">
        <v>7.5</v>
      </c>
      <c r="X962">
        <v>110</v>
      </c>
      <c r="Y962">
        <v>7.9000000953674299</v>
      </c>
      <c r="Z962">
        <v>6.8000001907348597</v>
      </c>
      <c r="AA962">
        <v>23.700000762939499</v>
      </c>
    </row>
    <row r="963" spans="22:27" x14ac:dyDescent="0.25">
      <c r="V963">
        <v>4</v>
      </c>
      <c r="W963">
        <v>7.5</v>
      </c>
      <c r="X963">
        <v>120</v>
      </c>
      <c r="Y963">
        <v>7.9000000953674299</v>
      </c>
      <c r="Z963">
        <v>6.8000001907348597</v>
      </c>
      <c r="AA963">
        <v>25.200000762939499</v>
      </c>
    </row>
    <row r="964" spans="22:27" x14ac:dyDescent="0.25">
      <c r="V964">
        <v>4</v>
      </c>
      <c r="W964">
        <v>7.5</v>
      </c>
      <c r="X964">
        <v>125</v>
      </c>
      <c r="Y964">
        <v>7.9000000953674299</v>
      </c>
      <c r="Z964">
        <v>6.8000001907348597</v>
      </c>
      <c r="AA964">
        <v>25.899999618530298</v>
      </c>
    </row>
    <row r="965" spans="22:27" x14ac:dyDescent="0.25">
      <c r="V965">
        <v>4</v>
      </c>
      <c r="W965">
        <v>10</v>
      </c>
      <c r="X965">
        <v>30</v>
      </c>
      <c r="Y965">
        <v>9</v>
      </c>
      <c r="Z965">
        <v>7.6999998092651403</v>
      </c>
      <c r="AA965">
        <v>10.6000003814697</v>
      </c>
    </row>
    <row r="966" spans="22:27" x14ac:dyDescent="0.25">
      <c r="V966">
        <v>4</v>
      </c>
      <c r="W966">
        <v>10</v>
      </c>
      <c r="X966">
        <v>40</v>
      </c>
      <c r="Y966">
        <v>9.5</v>
      </c>
      <c r="Z966">
        <v>8.1000003814697301</v>
      </c>
      <c r="AA966">
        <v>12.6000003814697</v>
      </c>
    </row>
    <row r="967" spans="22:27" x14ac:dyDescent="0.25">
      <c r="V967">
        <v>4</v>
      </c>
      <c r="W967">
        <v>10</v>
      </c>
      <c r="X967">
        <v>50</v>
      </c>
      <c r="Y967">
        <v>9.8000001907348597</v>
      </c>
      <c r="Z967">
        <v>8.3999996185302699</v>
      </c>
      <c r="AA967">
        <v>14.1000003814697</v>
      </c>
    </row>
    <row r="968" spans="22:27" x14ac:dyDescent="0.25">
      <c r="V968">
        <v>4</v>
      </c>
      <c r="W968">
        <v>10</v>
      </c>
      <c r="X968">
        <v>60</v>
      </c>
      <c r="Y968">
        <v>10</v>
      </c>
      <c r="Z968">
        <v>8.5</v>
      </c>
      <c r="AA968">
        <v>15.6000003814697</v>
      </c>
    </row>
    <row r="969" spans="22:27" x14ac:dyDescent="0.25">
      <c r="V969">
        <v>4</v>
      </c>
      <c r="W969">
        <v>10</v>
      </c>
      <c r="X969">
        <v>70</v>
      </c>
      <c r="Y969">
        <v>10.199999809265099</v>
      </c>
      <c r="Z969">
        <v>8.6999998092651403</v>
      </c>
      <c r="AA969">
        <v>17.200000762939499</v>
      </c>
    </row>
    <row r="970" spans="22:27" x14ac:dyDescent="0.25">
      <c r="V970">
        <v>4</v>
      </c>
      <c r="W970">
        <v>10</v>
      </c>
      <c r="X970">
        <v>80</v>
      </c>
      <c r="Y970">
        <v>10.300000190734901</v>
      </c>
      <c r="Z970">
        <v>8.8000001907348597</v>
      </c>
      <c r="AA970">
        <v>18.700000762939499</v>
      </c>
    </row>
    <row r="971" spans="22:27" x14ac:dyDescent="0.25">
      <c r="V971">
        <v>4</v>
      </c>
      <c r="W971">
        <v>10</v>
      </c>
      <c r="X971">
        <v>90</v>
      </c>
      <c r="Y971">
        <v>10.3999996185303</v>
      </c>
      <c r="Z971">
        <v>8.8000001907348597</v>
      </c>
      <c r="AA971">
        <v>20.399999618530298</v>
      </c>
    </row>
    <row r="972" spans="22:27" x14ac:dyDescent="0.25">
      <c r="V972">
        <v>4</v>
      </c>
      <c r="W972">
        <v>10</v>
      </c>
      <c r="X972">
        <v>100</v>
      </c>
      <c r="Y972">
        <v>10.5</v>
      </c>
      <c r="Z972">
        <v>9</v>
      </c>
      <c r="AA972">
        <v>22</v>
      </c>
    </row>
    <row r="973" spans="22:27" x14ac:dyDescent="0.25">
      <c r="V973">
        <v>4</v>
      </c>
      <c r="W973">
        <v>10</v>
      </c>
      <c r="X973">
        <v>110</v>
      </c>
      <c r="Y973">
        <v>10.5</v>
      </c>
      <c r="Z973">
        <v>9</v>
      </c>
      <c r="AA973">
        <v>23.399999618530298</v>
      </c>
    </row>
    <row r="974" spans="22:27" x14ac:dyDescent="0.25">
      <c r="V974">
        <v>4</v>
      </c>
      <c r="W974">
        <v>10</v>
      </c>
      <c r="X974">
        <v>120</v>
      </c>
      <c r="Y974">
        <v>10.5</v>
      </c>
      <c r="Z974">
        <v>9</v>
      </c>
      <c r="AA974">
        <v>24.899999618530298</v>
      </c>
    </row>
    <row r="975" spans="22:27" x14ac:dyDescent="0.25">
      <c r="V975">
        <v>4</v>
      </c>
      <c r="W975">
        <v>10</v>
      </c>
      <c r="X975">
        <v>125</v>
      </c>
      <c r="Y975">
        <v>10.5</v>
      </c>
      <c r="Z975">
        <v>9</v>
      </c>
      <c r="AA975">
        <v>25.600000381469702</v>
      </c>
    </row>
    <row r="976" spans="22:27" x14ac:dyDescent="0.25">
      <c r="V976">
        <v>4</v>
      </c>
      <c r="W976">
        <v>15</v>
      </c>
      <c r="X976">
        <v>30</v>
      </c>
      <c r="Y976">
        <v>13.5</v>
      </c>
      <c r="Z976">
        <v>11.5</v>
      </c>
      <c r="AA976">
        <v>10.6000003814697</v>
      </c>
    </row>
    <row r="977" spans="22:27" x14ac:dyDescent="0.25">
      <c r="V977">
        <v>4</v>
      </c>
      <c r="W977">
        <v>15</v>
      </c>
      <c r="X977">
        <v>40</v>
      </c>
      <c r="Y977">
        <v>14.300000190734901</v>
      </c>
      <c r="Z977">
        <v>12.199999809265099</v>
      </c>
      <c r="AA977">
        <v>12.6000003814697</v>
      </c>
    </row>
    <row r="978" spans="22:27" x14ac:dyDescent="0.25">
      <c r="V978">
        <v>4</v>
      </c>
      <c r="W978">
        <v>15</v>
      </c>
      <c r="X978">
        <v>50</v>
      </c>
      <c r="Y978">
        <v>14.699999809265099</v>
      </c>
      <c r="Z978">
        <v>12.5</v>
      </c>
      <c r="AA978">
        <v>14.1000003814697</v>
      </c>
    </row>
    <row r="979" spans="22:27" x14ac:dyDescent="0.25">
      <c r="V979">
        <v>4</v>
      </c>
      <c r="W979">
        <v>15</v>
      </c>
      <c r="X979">
        <v>60</v>
      </c>
      <c r="Y979">
        <v>15</v>
      </c>
      <c r="Z979">
        <v>12.800000190734901</v>
      </c>
      <c r="AA979">
        <v>15.6000003814697</v>
      </c>
    </row>
    <row r="980" spans="22:27" x14ac:dyDescent="0.25">
      <c r="V980">
        <v>4</v>
      </c>
      <c r="W980">
        <v>15</v>
      </c>
      <c r="X980">
        <v>70</v>
      </c>
      <c r="Y980">
        <v>15.199999809265099</v>
      </c>
      <c r="Z980">
        <v>13</v>
      </c>
      <c r="AA980">
        <v>17.200000762939499</v>
      </c>
    </row>
    <row r="981" spans="22:27" x14ac:dyDescent="0.25">
      <c r="V981">
        <v>4</v>
      </c>
      <c r="W981">
        <v>15</v>
      </c>
      <c r="X981">
        <v>80</v>
      </c>
      <c r="Y981">
        <v>15.3999996185303</v>
      </c>
      <c r="Z981">
        <v>13.1000003814697</v>
      </c>
      <c r="AA981">
        <v>18.700000762939499</v>
      </c>
    </row>
    <row r="982" spans="22:27" x14ac:dyDescent="0.25">
      <c r="V982">
        <v>4</v>
      </c>
      <c r="W982">
        <v>15</v>
      </c>
      <c r="X982">
        <v>90</v>
      </c>
      <c r="Y982">
        <v>15.5</v>
      </c>
      <c r="Z982">
        <v>13.300000190734901</v>
      </c>
      <c r="AA982">
        <v>20.399999618530298</v>
      </c>
    </row>
    <row r="983" spans="22:27" x14ac:dyDescent="0.25">
      <c r="V983">
        <v>4</v>
      </c>
      <c r="W983">
        <v>15</v>
      </c>
      <c r="X983">
        <v>100</v>
      </c>
      <c r="Y983">
        <v>15.800000190734901</v>
      </c>
      <c r="Z983">
        <v>13.3999996185303</v>
      </c>
      <c r="AA983">
        <v>22</v>
      </c>
    </row>
    <row r="984" spans="22:27" x14ac:dyDescent="0.25">
      <c r="V984">
        <v>4</v>
      </c>
      <c r="W984">
        <v>15</v>
      </c>
      <c r="X984">
        <v>110</v>
      </c>
      <c r="Y984">
        <v>15.800000190734901</v>
      </c>
      <c r="Z984">
        <v>13.3999996185303</v>
      </c>
      <c r="AA984">
        <v>23.399999618530298</v>
      </c>
    </row>
    <row r="985" spans="22:27" x14ac:dyDescent="0.25">
      <c r="V985">
        <v>4</v>
      </c>
      <c r="W985">
        <v>15</v>
      </c>
      <c r="X985">
        <v>120</v>
      </c>
      <c r="Y985">
        <v>15.800000190734901</v>
      </c>
      <c r="Z985">
        <v>13.3999996185303</v>
      </c>
      <c r="AA985">
        <v>24.899999618530298</v>
      </c>
    </row>
    <row r="986" spans="22:27" x14ac:dyDescent="0.25">
      <c r="V986">
        <v>4</v>
      </c>
      <c r="W986">
        <v>15</v>
      </c>
      <c r="X986">
        <v>125</v>
      </c>
      <c r="Y986">
        <v>15.800000190734901</v>
      </c>
      <c r="Z986">
        <v>13.3999996185303</v>
      </c>
      <c r="AA986">
        <v>25.600000381469702</v>
      </c>
    </row>
    <row r="987" spans="22:27" x14ac:dyDescent="0.25">
      <c r="V987">
        <v>4</v>
      </c>
      <c r="W987">
        <v>20</v>
      </c>
      <c r="X987">
        <v>30</v>
      </c>
      <c r="Y987">
        <v>18.100000381469702</v>
      </c>
      <c r="Z987">
        <v>15.1000003814697</v>
      </c>
      <c r="AA987">
        <v>10.1000003814697</v>
      </c>
    </row>
    <row r="988" spans="22:27" x14ac:dyDescent="0.25">
      <c r="V988">
        <v>4</v>
      </c>
      <c r="W988">
        <v>20</v>
      </c>
      <c r="X988">
        <v>40</v>
      </c>
      <c r="Y988">
        <v>19</v>
      </c>
      <c r="Z988">
        <v>15.800000190734901</v>
      </c>
      <c r="AA988">
        <v>11.8999996185303</v>
      </c>
    </row>
    <row r="989" spans="22:27" x14ac:dyDescent="0.25">
      <c r="V989">
        <v>4</v>
      </c>
      <c r="W989">
        <v>20</v>
      </c>
      <c r="X989">
        <v>50</v>
      </c>
      <c r="Y989">
        <v>19.600000381469702</v>
      </c>
      <c r="Z989">
        <v>16.399999618530298</v>
      </c>
      <c r="AA989">
        <v>13.3999996185303</v>
      </c>
    </row>
    <row r="990" spans="22:27" x14ac:dyDescent="0.25">
      <c r="V990">
        <v>4</v>
      </c>
      <c r="W990">
        <v>20</v>
      </c>
      <c r="X990">
        <v>60</v>
      </c>
      <c r="Y990">
        <v>20</v>
      </c>
      <c r="Z990">
        <v>16.700000762939499</v>
      </c>
      <c r="AA990">
        <v>14.800000190734901</v>
      </c>
    </row>
    <row r="991" spans="22:27" x14ac:dyDescent="0.25">
      <c r="V991">
        <v>4</v>
      </c>
      <c r="W991">
        <v>20</v>
      </c>
      <c r="X991">
        <v>70</v>
      </c>
      <c r="Y991">
        <v>20.299999237060501</v>
      </c>
      <c r="Z991">
        <v>16.899999618530298</v>
      </c>
      <c r="AA991">
        <v>16.299999237060501</v>
      </c>
    </row>
    <row r="992" spans="22:27" x14ac:dyDescent="0.25">
      <c r="V992">
        <v>4</v>
      </c>
      <c r="W992">
        <v>20</v>
      </c>
      <c r="X992">
        <v>80</v>
      </c>
      <c r="Y992">
        <v>20.600000381469702</v>
      </c>
      <c r="Z992">
        <v>17.100000381469702</v>
      </c>
      <c r="AA992">
        <v>17.799999237060501</v>
      </c>
    </row>
    <row r="993" spans="22:27" x14ac:dyDescent="0.25">
      <c r="V993">
        <v>4</v>
      </c>
      <c r="W993">
        <v>20</v>
      </c>
      <c r="X993">
        <v>90</v>
      </c>
      <c r="Y993">
        <v>20.700000762939499</v>
      </c>
      <c r="Z993">
        <v>17.299999237060501</v>
      </c>
      <c r="AA993">
        <v>19.299999237060501</v>
      </c>
    </row>
    <row r="994" spans="22:27" x14ac:dyDescent="0.25">
      <c r="V994">
        <v>4</v>
      </c>
      <c r="W994">
        <v>20</v>
      </c>
      <c r="X994">
        <v>100</v>
      </c>
      <c r="Y994">
        <v>21</v>
      </c>
      <c r="Z994">
        <v>17.5</v>
      </c>
      <c r="AA994">
        <v>20.799999237060501</v>
      </c>
    </row>
    <row r="995" spans="22:27" x14ac:dyDescent="0.25">
      <c r="V995">
        <v>4</v>
      </c>
      <c r="W995">
        <v>20</v>
      </c>
      <c r="X995">
        <v>110</v>
      </c>
      <c r="Y995">
        <v>21</v>
      </c>
      <c r="Z995">
        <v>17.5</v>
      </c>
      <c r="AA995">
        <v>22.299999237060501</v>
      </c>
    </row>
    <row r="996" spans="22:27" x14ac:dyDescent="0.25">
      <c r="V996">
        <v>4</v>
      </c>
      <c r="W996">
        <v>20</v>
      </c>
      <c r="X996">
        <v>120</v>
      </c>
      <c r="Y996">
        <v>21</v>
      </c>
      <c r="Z996">
        <v>17.5</v>
      </c>
      <c r="AA996">
        <v>23.700000762939499</v>
      </c>
    </row>
    <row r="997" spans="22:27" x14ac:dyDescent="0.25">
      <c r="V997">
        <v>4</v>
      </c>
      <c r="W997">
        <v>20</v>
      </c>
      <c r="X997">
        <v>125</v>
      </c>
      <c r="Y997">
        <v>21</v>
      </c>
      <c r="Z997">
        <v>17.5</v>
      </c>
      <c r="AA997">
        <v>24.299999237060501</v>
      </c>
    </row>
    <row r="998" spans="22:27" x14ac:dyDescent="0.25">
      <c r="V998">
        <v>4</v>
      </c>
      <c r="W998">
        <v>25</v>
      </c>
      <c r="X998">
        <v>30</v>
      </c>
      <c r="Y998">
        <v>22.600000381469702</v>
      </c>
      <c r="Z998">
        <v>18.700000762939499</v>
      </c>
      <c r="AA998">
        <v>10</v>
      </c>
    </row>
    <row r="999" spans="22:27" x14ac:dyDescent="0.25">
      <c r="V999">
        <v>4</v>
      </c>
      <c r="W999">
        <v>25</v>
      </c>
      <c r="X999">
        <v>40</v>
      </c>
      <c r="Y999">
        <v>23.799999237060501</v>
      </c>
      <c r="Z999">
        <v>19.700000762939499</v>
      </c>
      <c r="AA999">
        <v>11.800000190734901</v>
      </c>
    </row>
    <row r="1000" spans="22:27" x14ac:dyDescent="0.25">
      <c r="V1000">
        <v>4</v>
      </c>
      <c r="W1000">
        <v>25</v>
      </c>
      <c r="X1000">
        <v>50</v>
      </c>
      <c r="Y1000">
        <v>24.5</v>
      </c>
      <c r="Z1000">
        <v>20.299999237060501</v>
      </c>
      <c r="AA1000">
        <v>13.300000190734901</v>
      </c>
    </row>
    <row r="1001" spans="22:27" x14ac:dyDescent="0.25">
      <c r="V1001">
        <v>4</v>
      </c>
      <c r="W1001">
        <v>25</v>
      </c>
      <c r="X1001">
        <v>60</v>
      </c>
      <c r="Y1001">
        <v>25</v>
      </c>
      <c r="Z1001">
        <v>20.700000762939499</v>
      </c>
      <c r="AA1001">
        <v>14.699999809265099</v>
      </c>
    </row>
    <row r="1002" spans="22:27" x14ac:dyDescent="0.25">
      <c r="V1002">
        <v>4</v>
      </c>
      <c r="W1002">
        <v>25</v>
      </c>
      <c r="X1002">
        <v>70</v>
      </c>
      <c r="Y1002">
        <v>25.399999618530298</v>
      </c>
      <c r="Z1002">
        <v>21</v>
      </c>
      <c r="AA1002">
        <v>16.200000762939499</v>
      </c>
    </row>
    <row r="1003" spans="22:27" x14ac:dyDescent="0.25">
      <c r="V1003">
        <v>4</v>
      </c>
      <c r="W1003">
        <v>25</v>
      </c>
      <c r="X1003">
        <v>80</v>
      </c>
      <c r="Y1003">
        <v>25.700000762939499</v>
      </c>
      <c r="Z1003">
        <v>21.200000762939499</v>
      </c>
      <c r="AA1003">
        <v>17.600000381469702</v>
      </c>
    </row>
    <row r="1004" spans="22:27" x14ac:dyDescent="0.25">
      <c r="V1004">
        <v>4</v>
      </c>
      <c r="W1004">
        <v>25</v>
      </c>
      <c r="X1004">
        <v>90</v>
      </c>
      <c r="Y1004">
        <v>25.899999618530298</v>
      </c>
      <c r="Z1004">
        <v>21.399999618530298</v>
      </c>
      <c r="AA1004">
        <v>19.200000762939499</v>
      </c>
    </row>
    <row r="1005" spans="22:27" x14ac:dyDescent="0.25">
      <c r="V1005">
        <v>4</v>
      </c>
      <c r="W1005">
        <v>25</v>
      </c>
      <c r="X1005">
        <v>100</v>
      </c>
      <c r="Y1005">
        <v>26.299999237060501</v>
      </c>
      <c r="Z1005">
        <v>21.700000762939499</v>
      </c>
      <c r="AA1005">
        <v>20.700000762939499</v>
      </c>
    </row>
    <row r="1006" spans="22:27" x14ac:dyDescent="0.25">
      <c r="V1006">
        <v>4</v>
      </c>
      <c r="W1006">
        <v>25</v>
      </c>
      <c r="X1006">
        <v>110</v>
      </c>
      <c r="Y1006">
        <v>26.299999237060501</v>
      </c>
      <c r="Z1006">
        <v>21.700000762939499</v>
      </c>
      <c r="AA1006">
        <v>22.100000381469702</v>
      </c>
    </row>
    <row r="1007" spans="22:27" x14ac:dyDescent="0.25">
      <c r="V1007">
        <v>4</v>
      </c>
      <c r="W1007">
        <v>25</v>
      </c>
      <c r="X1007">
        <v>120</v>
      </c>
      <c r="Y1007">
        <v>26.299999237060501</v>
      </c>
      <c r="Z1007">
        <v>21.700000762939499</v>
      </c>
      <c r="AA1007">
        <v>23.5</v>
      </c>
    </row>
    <row r="1008" spans="22:27" x14ac:dyDescent="0.25">
      <c r="V1008">
        <v>4</v>
      </c>
      <c r="W1008">
        <v>25</v>
      </c>
      <c r="X1008">
        <v>125</v>
      </c>
      <c r="Y1008">
        <v>26.299999237060501</v>
      </c>
      <c r="Z1008">
        <v>21.700000762939499</v>
      </c>
      <c r="AA1008">
        <v>24.100000381469702</v>
      </c>
    </row>
    <row r="1009" spans="22:27" x14ac:dyDescent="0.25">
      <c r="V1009">
        <v>4</v>
      </c>
      <c r="W1009">
        <v>30</v>
      </c>
      <c r="X1009">
        <v>30</v>
      </c>
      <c r="Y1009">
        <v>27.100000381469702</v>
      </c>
      <c r="Z1009">
        <v>22.200000762939499</v>
      </c>
      <c r="AA1009">
        <v>9.8999996185302699</v>
      </c>
    </row>
    <row r="1010" spans="22:27" x14ac:dyDescent="0.25">
      <c r="V1010">
        <v>4</v>
      </c>
      <c r="W1010">
        <v>30</v>
      </c>
      <c r="X1010">
        <v>40</v>
      </c>
      <c r="Y1010">
        <v>28.5</v>
      </c>
      <c r="Z1010">
        <v>23.399999618530298</v>
      </c>
      <c r="AA1010">
        <v>11.699999809265099</v>
      </c>
    </row>
    <row r="1011" spans="22:27" x14ac:dyDescent="0.25">
      <c r="V1011">
        <v>4</v>
      </c>
      <c r="W1011">
        <v>30</v>
      </c>
      <c r="X1011">
        <v>50</v>
      </c>
      <c r="Y1011">
        <v>29.399999618530298</v>
      </c>
      <c r="Z1011">
        <v>24.100000381469702</v>
      </c>
      <c r="AA1011">
        <v>13.199999809265099</v>
      </c>
    </row>
    <row r="1012" spans="22:27" x14ac:dyDescent="0.25">
      <c r="V1012">
        <v>4</v>
      </c>
      <c r="W1012">
        <v>30</v>
      </c>
      <c r="X1012">
        <v>60</v>
      </c>
      <c r="Y1012">
        <v>30</v>
      </c>
      <c r="Z1012">
        <v>24.600000381469702</v>
      </c>
      <c r="AA1012">
        <v>14.6000003814697</v>
      </c>
    </row>
    <row r="1013" spans="22:27" x14ac:dyDescent="0.25">
      <c r="V1013">
        <v>4</v>
      </c>
      <c r="W1013">
        <v>30</v>
      </c>
      <c r="X1013">
        <v>70</v>
      </c>
      <c r="Y1013">
        <v>30.5</v>
      </c>
      <c r="Z1013">
        <v>25</v>
      </c>
      <c r="AA1013">
        <v>16.100000381469702</v>
      </c>
    </row>
    <row r="1014" spans="22:27" x14ac:dyDescent="0.25">
      <c r="V1014">
        <v>4</v>
      </c>
      <c r="W1014">
        <v>30</v>
      </c>
      <c r="X1014">
        <v>80</v>
      </c>
      <c r="Y1014">
        <v>30.799999237060501</v>
      </c>
      <c r="Z1014">
        <v>25.299999237060501</v>
      </c>
      <c r="AA1014">
        <v>17.5</v>
      </c>
    </row>
    <row r="1015" spans="22:27" x14ac:dyDescent="0.25">
      <c r="V1015">
        <v>4</v>
      </c>
      <c r="W1015">
        <v>30</v>
      </c>
      <c r="X1015">
        <v>90</v>
      </c>
      <c r="Y1015">
        <v>31.100000381469702</v>
      </c>
      <c r="Z1015">
        <v>25.5</v>
      </c>
      <c r="AA1015">
        <v>19</v>
      </c>
    </row>
    <row r="1016" spans="22:27" x14ac:dyDescent="0.25">
      <c r="V1016">
        <v>4</v>
      </c>
      <c r="W1016">
        <v>30</v>
      </c>
      <c r="X1016">
        <v>100</v>
      </c>
      <c r="Y1016">
        <v>31.5</v>
      </c>
      <c r="Z1016">
        <v>25.799999237060501</v>
      </c>
      <c r="AA1016">
        <v>20.5</v>
      </c>
    </row>
    <row r="1017" spans="22:27" x14ac:dyDescent="0.25">
      <c r="V1017">
        <v>4</v>
      </c>
      <c r="W1017">
        <v>30</v>
      </c>
      <c r="X1017">
        <v>110</v>
      </c>
      <c r="Y1017">
        <v>31.5</v>
      </c>
      <c r="Z1017">
        <v>25.799999237060501</v>
      </c>
      <c r="AA1017">
        <v>21.899999618530298</v>
      </c>
    </row>
    <row r="1018" spans="22:27" x14ac:dyDescent="0.25">
      <c r="V1018">
        <v>4</v>
      </c>
      <c r="W1018">
        <v>30</v>
      </c>
      <c r="X1018">
        <v>120</v>
      </c>
      <c r="Y1018">
        <v>31.5</v>
      </c>
      <c r="Z1018">
        <v>25.799999237060501</v>
      </c>
      <c r="AA1018">
        <v>23.299999237060501</v>
      </c>
    </row>
    <row r="1019" spans="22:27" x14ac:dyDescent="0.25">
      <c r="V1019">
        <v>4</v>
      </c>
      <c r="W1019">
        <v>30</v>
      </c>
      <c r="X1019">
        <v>125</v>
      </c>
      <c r="Y1019">
        <v>31.5</v>
      </c>
      <c r="Z1019">
        <v>25.799999237060501</v>
      </c>
      <c r="AA1019">
        <v>23.899999618530298</v>
      </c>
    </row>
    <row r="1020" spans="22:27" x14ac:dyDescent="0.25">
      <c r="V1020">
        <v>4</v>
      </c>
      <c r="W1020">
        <v>40</v>
      </c>
      <c r="X1020">
        <v>30</v>
      </c>
      <c r="Y1020">
        <v>36.099998474121101</v>
      </c>
      <c r="Z1020">
        <v>29.899999618530298</v>
      </c>
      <c r="AA1020">
        <v>9.6999998092651403</v>
      </c>
    </row>
    <row r="1021" spans="22:27" x14ac:dyDescent="0.25">
      <c r="V1021">
        <v>4</v>
      </c>
      <c r="W1021">
        <v>40</v>
      </c>
      <c r="X1021">
        <v>40</v>
      </c>
      <c r="Y1021">
        <v>38</v>
      </c>
      <c r="Z1021">
        <v>31.5</v>
      </c>
      <c r="AA1021">
        <v>11.3999996185303</v>
      </c>
    </row>
    <row r="1022" spans="22:27" x14ac:dyDescent="0.25">
      <c r="V1022">
        <v>4</v>
      </c>
      <c r="W1022">
        <v>40</v>
      </c>
      <c r="X1022">
        <v>50</v>
      </c>
      <c r="Y1022">
        <v>39.200000762939503</v>
      </c>
      <c r="Z1022">
        <v>32.400001525878899</v>
      </c>
      <c r="AA1022">
        <v>12.800000190734901</v>
      </c>
    </row>
    <row r="1023" spans="22:27" x14ac:dyDescent="0.25">
      <c r="V1023">
        <v>4</v>
      </c>
      <c r="W1023">
        <v>40</v>
      </c>
      <c r="X1023">
        <v>60</v>
      </c>
      <c r="Y1023">
        <v>40.099998474121101</v>
      </c>
      <c r="Z1023">
        <v>33.099998474121101</v>
      </c>
      <c r="AA1023">
        <v>14.199999809265099</v>
      </c>
    </row>
    <row r="1024" spans="22:27" x14ac:dyDescent="0.25">
      <c r="V1024">
        <v>4</v>
      </c>
      <c r="W1024">
        <v>40</v>
      </c>
      <c r="X1024">
        <v>70</v>
      </c>
      <c r="Y1024">
        <v>40.700000762939503</v>
      </c>
      <c r="Z1024">
        <v>33.599998474121101</v>
      </c>
      <c r="AA1024">
        <v>15.5</v>
      </c>
    </row>
    <row r="1025" spans="22:27" x14ac:dyDescent="0.25">
      <c r="V1025">
        <v>4</v>
      </c>
      <c r="W1025">
        <v>40</v>
      </c>
      <c r="X1025">
        <v>80</v>
      </c>
      <c r="Y1025">
        <v>41.099998474121101</v>
      </c>
      <c r="Z1025">
        <v>34</v>
      </c>
      <c r="AA1025">
        <v>16.899999618530298</v>
      </c>
    </row>
    <row r="1026" spans="22:27" x14ac:dyDescent="0.25">
      <c r="V1026">
        <v>4</v>
      </c>
      <c r="W1026">
        <v>40</v>
      </c>
      <c r="X1026">
        <v>90</v>
      </c>
      <c r="Y1026">
        <v>41.5</v>
      </c>
      <c r="Z1026">
        <v>34.299999237060497</v>
      </c>
      <c r="AA1026">
        <v>18.100000381469702</v>
      </c>
    </row>
    <row r="1027" spans="22:27" x14ac:dyDescent="0.25">
      <c r="V1027">
        <v>4</v>
      </c>
      <c r="W1027">
        <v>40</v>
      </c>
      <c r="X1027">
        <v>100</v>
      </c>
      <c r="Y1027">
        <v>42</v>
      </c>
      <c r="Z1027">
        <v>34.700000762939503</v>
      </c>
      <c r="AA1027">
        <v>19.399999618530298</v>
      </c>
    </row>
    <row r="1028" spans="22:27" x14ac:dyDescent="0.25">
      <c r="V1028">
        <v>4</v>
      </c>
      <c r="W1028">
        <v>40</v>
      </c>
      <c r="X1028">
        <v>110</v>
      </c>
      <c r="Y1028">
        <v>42</v>
      </c>
      <c r="Z1028">
        <v>34.700000762939503</v>
      </c>
      <c r="AA1028">
        <v>20.600000381469702</v>
      </c>
    </row>
    <row r="1029" spans="22:27" x14ac:dyDescent="0.25">
      <c r="V1029">
        <v>4</v>
      </c>
      <c r="W1029">
        <v>40</v>
      </c>
      <c r="X1029">
        <v>120</v>
      </c>
      <c r="Y1029">
        <v>42</v>
      </c>
      <c r="Z1029">
        <v>34.700000762939503</v>
      </c>
      <c r="AA1029">
        <v>21.799999237060501</v>
      </c>
    </row>
    <row r="1030" spans="22:27" x14ac:dyDescent="0.25">
      <c r="V1030">
        <v>4</v>
      </c>
      <c r="W1030">
        <v>40</v>
      </c>
      <c r="X1030">
        <v>125</v>
      </c>
      <c r="Y1030">
        <v>42</v>
      </c>
      <c r="Z1030">
        <v>34.700000762939503</v>
      </c>
      <c r="AA1030">
        <v>22.299999237060501</v>
      </c>
    </row>
    <row r="1031" spans="22:27" x14ac:dyDescent="0.25">
      <c r="V1031">
        <v>4</v>
      </c>
      <c r="W1031">
        <v>50</v>
      </c>
      <c r="X1031">
        <v>30</v>
      </c>
      <c r="Y1031">
        <v>45.200000762939503</v>
      </c>
      <c r="Z1031">
        <v>36.700000762939503</v>
      </c>
      <c r="AA1031">
        <v>9.5</v>
      </c>
    </row>
    <row r="1032" spans="22:27" x14ac:dyDescent="0.25">
      <c r="V1032">
        <v>4</v>
      </c>
      <c r="W1032">
        <v>50</v>
      </c>
      <c r="X1032">
        <v>40</v>
      </c>
      <c r="Y1032">
        <v>47.5</v>
      </c>
      <c r="Z1032">
        <v>38.700000762939503</v>
      </c>
      <c r="AA1032">
        <v>11.199999809265099</v>
      </c>
    </row>
    <row r="1033" spans="22:27" x14ac:dyDescent="0.25">
      <c r="V1033">
        <v>4</v>
      </c>
      <c r="W1033">
        <v>50</v>
      </c>
      <c r="X1033">
        <v>50</v>
      </c>
      <c r="Y1033">
        <v>49</v>
      </c>
      <c r="Z1033">
        <v>39.900001525878899</v>
      </c>
      <c r="AA1033">
        <v>12.6000003814697</v>
      </c>
    </row>
    <row r="1034" spans="22:27" x14ac:dyDescent="0.25">
      <c r="V1034">
        <v>4</v>
      </c>
      <c r="W1034">
        <v>50</v>
      </c>
      <c r="X1034">
        <v>60</v>
      </c>
      <c r="Y1034">
        <v>50.099998474121101</v>
      </c>
      <c r="Z1034">
        <v>40.700000762939503</v>
      </c>
      <c r="AA1034">
        <v>14</v>
      </c>
    </row>
    <row r="1035" spans="22:27" x14ac:dyDescent="0.25">
      <c r="V1035">
        <v>4</v>
      </c>
      <c r="W1035">
        <v>50</v>
      </c>
      <c r="X1035">
        <v>70</v>
      </c>
      <c r="Y1035">
        <v>50.799999237060497</v>
      </c>
      <c r="Z1035">
        <v>41.299999237060497</v>
      </c>
      <c r="AA1035">
        <v>15.300000190734901</v>
      </c>
    </row>
    <row r="1036" spans="22:27" x14ac:dyDescent="0.25">
      <c r="V1036">
        <v>4</v>
      </c>
      <c r="W1036">
        <v>50</v>
      </c>
      <c r="X1036">
        <v>80</v>
      </c>
      <c r="Y1036">
        <v>51.400001525878899</v>
      </c>
      <c r="Z1036">
        <v>41.799999237060497</v>
      </c>
      <c r="AA1036">
        <v>16.600000381469702</v>
      </c>
    </row>
    <row r="1037" spans="22:27" x14ac:dyDescent="0.25">
      <c r="V1037">
        <v>4</v>
      </c>
      <c r="W1037">
        <v>50</v>
      </c>
      <c r="X1037">
        <v>90</v>
      </c>
      <c r="Y1037">
        <v>51.799999237060497</v>
      </c>
      <c r="Z1037">
        <v>42.200000762939503</v>
      </c>
      <c r="AA1037">
        <v>17.799999237060501</v>
      </c>
    </row>
    <row r="1038" spans="22:27" x14ac:dyDescent="0.25">
      <c r="V1038">
        <v>4</v>
      </c>
      <c r="W1038">
        <v>50</v>
      </c>
      <c r="X1038">
        <v>100</v>
      </c>
      <c r="Y1038">
        <v>52.5</v>
      </c>
      <c r="Z1038">
        <v>42.700000762939503</v>
      </c>
      <c r="AA1038">
        <v>19</v>
      </c>
    </row>
    <row r="1039" spans="22:27" x14ac:dyDescent="0.25">
      <c r="V1039">
        <v>4</v>
      </c>
      <c r="W1039">
        <v>50</v>
      </c>
      <c r="X1039">
        <v>110</v>
      </c>
      <c r="Y1039">
        <v>52.5</v>
      </c>
      <c r="Z1039">
        <v>42.700000762939503</v>
      </c>
      <c r="AA1039">
        <v>20.299999237060501</v>
      </c>
    </row>
    <row r="1040" spans="22:27" x14ac:dyDescent="0.25">
      <c r="V1040">
        <v>4</v>
      </c>
      <c r="W1040">
        <v>50</v>
      </c>
      <c r="X1040">
        <v>120</v>
      </c>
      <c r="Y1040">
        <v>52.5</v>
      </c>
      <c r="Z1040">
        <v>42.700000762939503</v>
      </c>
      <c r="AA1040">
        <v>21.5</v>
      </c>
    </row>
    <row r="1041" spans="22:27" x14ac:dyDescent="0.25">
      <c r="V1041">
        <v>4</v>
      </c>
      <c r="W1041">
        <v>50</v>
      </c>
      <c r="X1041">
        <v>125</v>
      </c>
      <c r="Y1041">
        <v>52.5</v>
      </c>
      <c r="Z1041">
        <v>42.700000762939503</v>
      </c>
      <c r="AA1041">
        <v>22</v>
      </c>
    </row>
    <row r="1042" spans="22:27" x14ac:dyDescent="0.25">
      <c r="V1042">
        <v>4</v>
      </c>
      <c r="W1042">
        <v>60</v>
      </c>
      <c r="X1042">
        <v>30</v>
      </c>
      <c r="Y1042">
        <v>54.200000762939503</v>
      </c>
      <c r="Z1042">
        <v>44.099998474121101</v>
      </c>
      <c r="AA1042">
        <v>8.5</v>
      </c>
    </row>
    <row r="1043" spans="22:27" x14ac:dyDescent="0.25">
      <c r="V1043">
        <v>4</v>
      </c>
      <c r="W1043">
        <v>60</v>
      </c>
      <c r="X1043">
        <v>40</v>
      </c>
      <c r="Y1043">
        <v>57</v>
      </c>
      <c r="Z1043">
        <v>46.400001525878899</v>
      </c>
      <c r="AA1043">
        <v>10.300000190734901</v>
      </c>
    </row>
    <row r="1044" spans="22:27" x14ac:dyDescent="0.25">
      <c r="V1044">
        <v>4</v>
      </c>
      <c r="W1044">
        <v>60</v>
      </c>
      <c r="X1044">
        <v>50</v>
      </c>
      <c r="Y1044">
        <v>58.900001525878899</v>
      </c>
      <c r="Z1044">
        <v>47.900001525878899</v>
      </c>
      <c r="AA1044">
        <v>11.699999809265099</v>
      </c>
    </row>
    <row r="1045" spans="22:27" x14ac:dyDescent="0.25">
      <c r="V1045">
        <v>4</v>
      </c>
      <c r="W1045">
        <v>60</v>
      </c>
      <c r="X1045">
        <v>60</v>
      </c>
      <c r="Y1045">
        <v>60.099998474121101</v>
      </c>
      <c r="Z1045">
        <v>48.900001525878899</v>
      </c>
      <c r="AA1045">
        <v>13.300000190734901</v>
      </c>
    </row>
    <row r="1046" spans="22:27" x14ac:dyDescent="0.25">
      <c r="V1046">
        <v>4</v>
      </c>
      <c r="W1046">
        <v>60</v>
      </c>
      <c r="X1046">
        <v>70</v>
      </c>
      <c r="Y1046">
        <v>61</v>
      </c>
      <c r="Z1046">
        <v>49.599998474121101</v>
      </c>
      <c r="AA1046">
        <v>14.800000190734901</v>
      </c>
    </row>
    <row r="1047" spans="22:27" x14ac:dyDescent="0.25">
      <c r="V1047">
        <v>4</v>
      </c>
      <c r="W1047">
        <v>60</v>
      </c>
      <c r="X1047">
        <v>80</v>
      </c>
      <c r="Y1047">
        <v>61.700000762939503</v>
      </c>
      <c r="Z1047">
        <v>50.200000762939503</v>
      </c>
      <c r="AA1047">
        <v>16.200000762939499</v>
      </c>
    </row>
    <row r="1048" spans="22:27" x14ac:dyDescent="0.25">
      <c r="V1048">
        <v>4</v>
      </c>
      <c r="W1048">
        <v>60</v>
      </c>
      <c r="X1048">
        <v>90</v>
      </c>
      <c r="Y1048">
        <v>62.200000762939503</v>
      </c>
      <c r="Z1048">
        <v>50.599998474121101</v>
      </c>
      <c r="AA1048">
        <v>17.600000381469702</v>
      </c>
    </row>
    <row r="1049" spans="22:27" x14ac:dyDescent="0.25">
      <c r="V1049">
        <v>4</v>
      </c>
      <c r="W1049">
        <v>60</v>
      </c>
      <c r="X1049">
        <v>100</v>
      </c>
      <c r="Y1049">
        <v>63</v>
      </c>
      <c r="Z1049">
        <v>51.299999237060497</v>
      </c>
      <c r="AA1049">
        <v>18.899999618530298</v>
      </c>
    </row>
    <row r="1050" spans="22:27" x14ac:dyDescent="0.25">
      <c r="V1050">
        <v>4</v>
      </c>
      <c r="W1050">
        <v>60</v>
      </c>
      <c r="X1050">
        <v>110</v>
      </c>
      <c r="Y1050">
        <v>63</v>
      </c>
      <c r="Z1050">
        <v>51.299999237060497</v>
      </c>
      <c r="AA1050">
        <v>20.200000762939499</v>
      </c>
    </row>
    <row r="1051" spans="22:27" x14ac:dyDescent="0.25">
      <c r="V1051">
        <v>4</v>
      </c>
      <c r="W1051">
        <v>60</v>
      </c>
      <c r="X1051">
        <v>120</v>
      </c>
      <c r="Y1051">
        <v>63</v>
      </c>
      <c r="Z1051">
        <v>51.299999237060497</v>
      </c>
      <c r="AA1051">
        <v>21.5</v>
      </c>
    </row>
    <row r="1052" spans="22:27" x14ac:dyDescent="0.25">
      <c r="V1052">
        <v>4</v>
      </c>
      <c r="W1052">
        <v>60</v>
      </c>
      <c r="X1052">
        <v>125</v>
      </c>
      <c r="Y1052">
        <v>63</v>
      </c>
      <c r="Z1052">
        <v>51.299999237060497</v>
      </c>
      <c r="AA1052">
        <v>22</v>
      </c>
    </row>
    <row r="1053" spans="22:27" x14ac:dyDescent="0.25">
      <c r="V1053">
        <v>4</v>
      </c>
      <c r="W1053">
        <v>75</v>
      </c>
      <c r="X1053">
        <v>30</v>
      </c>
      <c r="Y1053">
        <v>67.699996948242202</v>
      </c>
      <c r="Z1053">
        <v>55.099998474121101</v>
      </c>
      <c r="AA1053">
        <v>8.5</v>
      </c>
    </row>
    <row r="1054" spans="22:27" x14ac:dyDescent="0.25">
      <c r="V1054">
        <v>4</v>
      </c>
      <c r="W1054">
        <v>75</v>
      </c>
      <c r="X1054">
        <v>40</v>
      </c>
      <c r="Y1054">
        <v>71.300003051757798</v>
      </c>
      <c r="Z1054">
        <v>58</v>
      </c>
      <c r="AA1054">
        <v>10.300000190734901</v>
      </c>
    </row>
    <row r="1055" spans="22:27" x14ac:dyDescent="0.25">
      <c r="V1055">
        <v>4</v>
      </c>
      <c r="W1055">
        <v>75</v>
      </c>
      <c r="X1055">
        <v>50</v>
      </c>
      <c r="Y1055">
        <v>73.599998474121094</v>
      </c>
      <c r="Z1055">
        <v>59.799999237060497</v>
      </c>
      <c r="AA1055">
        <v>11.699999809265099</v>
      </c>
    </row>
    <row r="1056" spans="22:27" x14ac:dyDescent="0.25">
      <c r="V1056">
        <v>4</v>
      </c>
      <c r="W1056">
        <v>75</v>
      </c>
      <c r="X1056">
        <v>60</v>
      </c>
      <c r="Y1056">
        <v>75.099998474121094</v>
      </c>
      <c r="Z1056">
        <v>61.099998474121101</v>
      </c>
      <c r="AA1056">
        <v>13.300000190734901</v>
      </c>
    </row>
    <row r="1057" spans="22:27" x14ac:dyDescent="0.25">
      <c r="V1057">
        <v>4</v>
      </c>
      <c r="W1057">
        <v>75</v>
      </c>
      <c r="X1057">
        <v>70</v>
      </c>
      <c r="Y1057">
        <v>76.199996948242202</v>
      </c>
      <c r="Z1057">
        <v>62</v>
      </c>
      <c r="AA1057">
        <v>14.800000190734901</v>
      </c>
    </row>
    <row r="1058" spans="22:27" x14ac:dyDescent="0.25">
      <c r="V1058">
        <v>4</v>
      </c>
      <c r="W1058">
        <v>75</v>
      </c>
      <c r="X1058">
        <v>80</v>
      </c>
      <c r="Y1058">
        <v>77.099998474121094</v>
      </c>
      <c r="Z1058">
        <v>62.700000762939503</v>
      </c>
      <c r="AA1058">
        <v>16.200000762939499</v>
      </c>
    </row>
    <row r="1059" spans="22:27" x14ac:dyDescent="0.25">
      <c r="V1059">
        <v>4</v>
      </c>
      <c r="W1059">
        <v>75</v>
      </c>
      <c r="X1059">
        <v>90</v>
      </c>
      <c r="Y1059">
        <v>77.699996948242202</v>
      </c>
      <c r="Z1059">
        <v>63.200000762939503</v>
      </c>
      <c r="AA1059">
        <v>17.600000381469702</v>
      </c>
    </row>
    <row r="1060" spans="22:27" x14ac:dyDescent="0.25">
      <c r="V1060">
        <v>4</v>
      </c>
      <c r="W1060">
        <v>75</v>
      </c>
      <c r="X1060">
        <v>100</v>
      </c>
      <c r="Y1060">
        <v>78.800003051757798</v>
      </c>
      <c r="Z1060">
        <v>64.099998474121094</v>
      </c>
      <c r="AA1060">
        <v>18.899999618530298</v>
      </c>
    </row>
    <row r="1061" spans="22:27" x14ac:dyDescent="0.25">
      <c r="V1061">
        <v>4</v>
      </c>
      <c r="W1061">
        <v>75</v>
      </c>
      <c r="X1061">
        <v>110</v>
      </c>
      <c r="Y1061">
        <v>78.800003051757798</v>
      </c>
      <c r="Z1061">
        <v>64.099998474121094</v>
      </c>
      <c r="AA1061">
        <v>20.200000762939499</v>
      </c>
    </row>
    <row r="1062" spans="22:27" x14ac:dyDescent="0.25">
      <c r="V1062">
        <v>4</v>
      </c>
      <c r="W1062">
        <v>75</v>
      </c>
      <c r="X1062">
        <v>120</v>
      </c>
      <c r="Y1062">
        <v>78.800003051757798</v>
      </c>
      <c r="Z1062">
        <v>64.099998474121094</v>
      </c>
      <c r="AA1062">
        <v>21.5</v>
      </c>
    </row>
    <row r="1063" spans="22:27" x14ac:dyDescent="0.25">
      <c r="V1063">
        <v>4</v>
      </c>
      <c r="W1063">
        <v>75</v>
      </c>
      <c r="X1063">
        <v>125</v>
      </c>
      <c r="Y1063">
        <v>78.800003051757798</v>
      </c>
      <c r="Z1063">
        <v>64.099998474121094</v>
      </c>
      <c r="AA1063">
        <v>22</v>
      </c>
    </row>
    <row r="1064" spans="22:27" x14ac:dyDescent="0.25">
      <c r="V1064">
        <v>4</v>
      </c>
      <c r="W1064">
        <v>100</v>
      </c>
      <c r="X1064">
        <v>30</v>
      </c>
      <c r="Y1064">
        <v>90.300003051757798</v>
      </c>
      <c r="Z1064">
        <v>73.5</v>
      </c>
      <c r="AA1064">
        <v>8.1000003814697301</v>
      </c>
    </row>
    <row r="1065" spans="22:27" x14ac:dyDescent="0.25">
      <c r="V1065">
        <v>4</v>
      </c>
      <c r="W1065">
        <v>100</v>
      </c>
      <c r="X1065">
        <v>40</v>
      </c>
      <c r="Y1065">
        <v>95.099998474121094</v>
      </c>
      <c r="Z1065">
        <v>77.300003051757798</v>
      </c>
      <c r="AA1065">
        <v>9.6999998092651403</v>
      </c>
    </row>
    <row r="1066" spans="22:27" x14ac:dyDescent="0.25">
      <c r="V1066">
        <v>4</v>
      </c>
      <c r="W1066">
        <v>100</v>
      </c>
      <c r="X1066">
        <v>50</v>
      </c>
      <c r="Y1066">
        <v>98.099998474121094</v>
      </c>
      <c r="Z1066">
        <v>79.800003051757798</v>
      </c>
      <c r="AA1066">
        <v>11</v>
      </c>
    </row>
    <row r="1067" spans="22:27" x14ac:dyDescent="0.25">
      <c r="V1067">
        <v>4</v>
      </c>
      <c r="W1067">
        <v>100</v>
      </c>
      <c r="X1067">
        <v>60</v>
      </c>
      <c r="Y1067">
        <v>100.09999847412099</v>
      </c>
      <c r="Z1067">
        <v>81.5</v>
      </c>
      <c r="AA1067">
        <v>12.300000190734901</v>
      </c>
    </row>
    <row r="1068" spans="22:27" x14ac:dyDescent="0.25">
      <c r="V1068">
        <v>4</v>
      </c>
      <c r="W1068">
        <v>125</v>
      </c>
      <c r="X1068">
        <v>30</v>
      </c>
      <c r="Y1068">
        <v>112.90000152587901</v>
      </c>
      <c r="Z1068">
        <v>91.099998474121094</v>
      </c>
      <c r="AA1068">
        <v>8</v>
      </c>
    </row>
    <row r="1069" spans="22:27" x14ac:dyDescent="0.25">
      <c r="V1069">
        <v>4</v>
      </c>
      <c r="W1069">
        <v>125</v>
      </c>
      <c r="X1069">
        <v>40</v>
      </c>
      <c r="Y1069">
        <v>118.800003051758</v>
      </c>
      <c r="Z1069">
        <v>95.900001525878906</v>
      </c>
      <c r="AA1069">
        <v>9.5</v>
      </c>
    </row>
    <row r="1070" spans="22:27" x14ac:dyDescent="0.25">
      <c r="V1070">
        <v>4</v>
      </c>
      <c r="W1070">
        <v>125</v>
      </c>
      <c r="X1070">
        <v>50</v>
      </c>
      <c r="Y1070">
        <v>122.59999847412099</v>
      </c>
      <c r="Z1070">
        <v>99</v>
      </c>
      <c r="AA1070">
        <v>10.8999996185303</v>
      </c>
    </row>
    <row r="1071" spans="22:27" x14ac:dyDescent="0.25">
      <c r="V1071">
        <v>4</v>
      </c>
      <c r="W1071">
        <v>150</v>
      </c>
      <c r="X1071">
        <v>30</v>
      </c>
      <c r="Y1071">
        <v>135.5</v>
      </c>
      <c r="Z1071">
        <v>108.699996948242</v>
      </c>
      <c r="AA1071">
        <v>8.1000003814697301</v>
      </c>
    </row>
    <row r="1072" spans="22:27" x14ac:dyDescent="0.25">
      <c r="V1072">
        <v>4</v>
      </c>
      <c r="W1072">
        <v>150</v>
      </c>
      <c r="X1072">
        <v>40</v>
      </c>
      <c r="Y1072">
        <v>142.60000610351599</v>
      </c>
      <c r="Z1072">
        <v>114.40000152587901</v>
      </c>
      <c r="AA1072">
        <v>9.6999998092651403</v>
      </c>
    </row>
    <row r="1073" spans="22:27" x14ac:dyDescent="0.25">
      <c r="V1073">
        <v>4</v>
      </c>
      <c r="W1073">
        <v>150</v>
      </c>
      <c r="X1073">
        <v>50</v>
      </c>
      <c r="Y1073">
        <v>147.10000610351599</v>
      </c>
      <c r="Z1073">
        <v>118</v>
      </c>
      <c r="AA1073">
        <v>11.1000003814697</v>
      </c>
    </row>
    <row r="1074" spans="22:27" x14ac:dyDescent="0.25">
      <c r="V1074">
        <v>4</v>
      </c>
      <c r="W1074">
        <v>200</v>
      </c>
      <c r="X1074">
        <v>30</v>
      </c>
      <c r="Y1074">
        <v>180.60000610351599</v>
      </c>
      <c r="Z1074">
        <v>143.19999694824199</v>
      </c>
      <c r="AA1074">
        <v>8.3000001907348597</v>
      </c>
    </row>
    <row r="1075" spans="22:27" x14ac:dyDescent="0.25">
      <c r="V1075">
        <v>4</v>
      </c>
      <c r="W1075">
        <v>200</v>
      </c>
      <c r="X1075">
        <v>40</v>
      </c>
      <c r="Y1075">
        <v>190.10000610351599</v>
      </c>
      <c r="Z1075">
        <v>150.69999694824199</v>
      </c>
      <c r="AA1075">
        <v>9.8000001907348597</v>
      </c>
    </row>
    <row r="1076" spans="22:27" x14ac:dyDescent="0.25">
      <c r="V1076">
        <v>4</v>
      </c>
      <c r="W1076">
        <v>200</v>
      </c>
      <c r="X1076">
        <v>50</v>
      </c>
      <c r="Y1076">
        <v>196.19999694824199</v>
      </c>
      <c r="Z1076">
        <v>155.5</v>
      </c>
      <c r="AA1076">
        <v>11.199999809265099</v>
      </c>
    </row>
    <row r="1077" spans="22:27" x14ac:dyDescent="0.25">
      <c r="V1077">
        <v>4</v>
      </c>
      <c r="W1077">
        <v>200</v>
      </c>
      <c r="X1077">
        <v>60</v>
      </c>
      <c r="Y1077">
        <v>200.30000305175801</v>
      </c>
      <c r="Z1077">
        <v>158.80000305175801</v>
      </c>
      <c r="AA1077">
        <v>12.3999996185303</v>
      </c>
    </row>
    <row r="1078" spans="22:27" x14ac:dyDescent="0.25">
      <c r="V1078">
        <v>4</v>
      </c>
      <c r="W1078">
        <v>250</v>
      </c>
      <c r="X1078">
        <v>30</v>
      </c>
      <c r="Y1078">
        <v>225.80000305175801</v>
      </c>
      <c r="Z1078">
        <v>179.89999389648401</v>
      </c>
      <c r="AA1078">
        <v>8.3000001907348597</v>
      </c>
    </row>
    <row r="1079" spans="22:27" x14ac:dyDescent="0.25">
      <c r="V1079">
        <v>4</v>
      </c>
      <c r="W1079">
        <v>250</v>
      </c>
      <c r="X1079">
        <v>40</v>
      </c>
      <c r="Y1079">
        <v>237.69999694824199</v>
      </c>
      <c r="Z1079">
        <v>189.39999389648401</v>
      </c>
      <c r="AA1079">
        <v>9.8999996185302699</v>
      </c>
    </row>
    <row r="1080" spans="22:27" x14ac:dyDescent="0.25">
      <c r="V1080">
        <v>4</v>
      </c>
      <c r="W1080">
        <v>250</v>
      </c>
      <c r="X1080">
        <v>50</v>
      </c>
      <c r="Y1080">
        <v>245.19999694824199</v>
      </c>
      <c r="Z1080">
        <v>195.39999389648401</v>
      </c>
      <c r="AA1080">
        <v>11.300000190734901</v>
      </c>
    </row>
    <row r="1081" spans="22:27" x14ac:dyDescent="0.25">
      <c r="V1081">
        <v>4</v>
      </c>
      <c r="W1081">
        <v>250</v>
      </c>
      <c r="X1081">
        <v>60</v>
      </c>
      <c r="Y1081">
        <v>250.39999389648401</v>
      </c>
      <c r="Z1081">
        <v>199.5</v>
      </c>
      <c r="AA1081">
        <v>12.5</v>
      </c>
    </row>
    <row r="1082" spans="22:27" x14ac:dyDescent="0.25">
      <c r="V1082">
        <v>4</v>
      </c>
      <c r="W1082">
        <v>300</v>
      </c>
      <c r="X1082">
        <v>30</v>
      </c>
      <c r="Y1082">
        <v>270.89999389648398</v>
      </c>
      <c r="Z1082">
        <v>214.80000305175801</v>
      </c>
      <c r="AA1082">
        <v>8.3000001907348597</v>
      </c>
    </row>
    <row r="1083" spans="22:27" x14ac:dyDescent="0.25">
      <c r="V1083">
        <v>4</v>
      </c>
      <c r="W1083">
        <v>300</v>
      </c>
      <c r="X1083">
        <v>40</v>
      </c>
      <c r="Y1083">
        <v>285.20001220703102</v>
      </c>
      <c r="Z1083">
        <v>226.10000610351599</v>
      </c>
      <c r="AA1083">
        <v>9.8999996185302699</v>
      </c>
    </row>
    <row r="1084" spans="22:27" x14ac:dyDescent="0.25">
      <c r="V1084">
        <v>4</v>
      </c>
      <c r="W1084">
        <v>300</v>
      </c>
      <c r="X1084">
        <v>50</v>
      </c>
      <c r="Y1084">
        <v>294.29998779296898</v>
      </c>
      <c r="Z1084">
        <v>233.30000305175801</v>
      </c>
      <c r="AA1084">
        <v>11.300000190734901</v>
      </c>
    </row>
    <row r="1085" spans="22:27" x14ac:dyDescent="0.25">
      <c r="V1085">
        <v>4</v>
      </c>
      <c r="W1085">
        <v>300</v>
      </c>
      <c r="X1085">
        <v>60</v>
      </c>
      <c r="Y1085">
        <v>300.39999389648398</v>
      </c>
      <c r="Z1085">
        <v>238.19999694824199</v>
      </c>
      <c r="AA1085">
        <v>12.5</v>
      </c>
    </row>
    <row r="1086" spans="22:27" x14ac:dyDescent="0.25">
      <c r="V1086">
        <v>4</v>
      </c>
      <c r="W1086">
        <v>350</v>
      </c>
      <c r="X1086">
        <v>30</v>
      </c>
      <c r="Y1086">
        <v>316.10000610351602</v>
      </c>
      <c r="Z1086">
        <v>249.5</v>
      </c>
      <c r="AA1086">
        <v>8.3000001907348597</v>
      </c>
    </row>
    <row r="1087" spans="22:27" x14ac:dyDescent="0.25">
      <c r="V1087">
        <v>4</v>
      </c>
      <c r="W1087">
        <v>350</v>
      </c>
      <c r="X1087">
        <v>40</v>
      </c>
      <c r="Y1087">
        <v>332.79998779296898</v>
      </c>
      <c r="Z1087">
        <v>262.70001220703102</v>
      </c>
      <c r="AA1087">
        <v>9.8000001907348597</v>
      </c>
    </row>
    <row r="1088" spans="22:27" x14ac:dyDescent="0.25">
      <c r="V1088">
        <v>4</v>
      </c>
      <c r="W1088">
        <v>350</v>
      </c>
      <c r="X1088">
        <v>50</v>
      </c>
      <c r="Y1088">
        <v>343.29998779296898</v>
      </c>
      <c r="Z1088">
        <v>271</v>
      </c>
      <c r="AA1088">
        <v>11.199999809265099</v>
      </c>
    </row>
    <row r="1089" spans="22:27" x14ac:dyDescent="0.25">
      <c r="V1089">
        <v>4</v>
      </c>
      <c r="W1089">
        <v>350</v>
      </c>
      <c r="X1089">
        <v>60</v>
      </c>
      <c r="Y1089">
        <v>350.5</v>
      </c>
      <c r="Z1089">
        <v>276.70001220703102</v>
      </c>
      <c r="AA1089">
        <v>12.3999996185303</v>
      </c>
    </row>
    <row r="1090" spans="22:27" x14ac:dyDescent="0.25">
      <c r="V1090">
        <v>5</v>
      </c>
      <c r="W1090">
        <v>5</v>
      </c>
      <c r="X1090">
        <v>80</v>
      </c>
      <c r="Y1090">
        <v>5.3000001907348597</v>
      </c>
      <c r="Z1090">
        <v>4.5999999046325701</v>
      </c>
      <c r="AA1090">
        <v>17.100000381469702</v>
      </c>
    </row>
    <row r="1091" spans="22:27" x14ac:dyDescent="0.25">
      <c r="V1091">
        <v>5</v>
      </c>
      <c r="W1091">
        <v>5</v>
      </c>
      <c r="X1091">
        <v>100</v>
      </c>
      <c r="Y1091">
        <v>5.3000001907348597</v>
      </c>
      <c r="Z1091">
        <v>4.5999999046325701</v>
      </c>
      <c r="AA1091">
        <v>18.600000381469702</v>
      </c>
    </row>
    <row r="1092" spans="22:27" x14ac:dyDescent="0.25">
      <c r="V1092">
        <v>5</v>
      </c>
      <c r="W1092">
        <v>5</v>
      </c>
      <c r="X1092">
        <v>110</v>
      </c>
      <c r="Y1092">
        <v>5.3000001907348597</v>
      </c>
      <c r="Z1092">
        <v>4.5999999046325701</v>
      </c>
      <c r="AA1092">
        <v>19.5</v>
      </c>
    </row>
    <row r="1093" spans="22:27" x14ac:dyDescent="0.25">
      <c r="V1093">
        <v>5</v>
      </c>
      <c r="W1093">
        <v>5</v>
      </c>
      <c r="X1093">
        <v>125</v>
      </c>
      <c r="Y1093">
        <v>5.3000001907348597</v>
      </c>
      <c r="Z1093">
        <v>4.5999999046325701</v>
      </c>
      <c r="AA1093">
        <v>20.200000762939499</v>
      </c>
    </row>
    <row r="1094" spans="22:27" x14ac:dyDescent="0.25">
      <c r="V1094">
        <v>5</v>
      </c>
      <c r="W1094">
        <v>5</v>
      </c>
      <c r="X1094">
        <v>135</v>
      </c>
      <c r="Y1094">
        <v>5.3000001907348597</v>
      </c>
      <c r="Z1094">
        <v>4.5999999046325701</v>
      </c>
      <c r="AA1094">
        <v>20.799999237060501</v>
      </c>
    </row>
    <row r="1095" spans="22:27" x14ac:dyDescent="0.25">
      <c r="V1095">
        <v>5</v>
      </c>
      <c r="W1095">
        <v>5</v>
      </c>
      <c r="X1095">
        <v>150</v>
      </c>
      <c r="Y1095">
        <v>5.3000001907348597</v>
      </c>
      <c r="Z1095">
        <v>4.5999999046325701</v>
      </c>
      <c r="AA1095">
        <v>21.600000381469702</v>
      </c>
    </row>
    <row r="1096" spans="22:27" x14ac:dyDescent="0.25">
      <c r="V1096">
        <v>5</v>
      </c>
      <c r="W1096">
        <v>7.5</v>
      </c>
      <c r="X1096">
        <v>80</v>
      </c>
      <c r="Y1096">
        <v>7.9000000953674299</v>
      </c>
      <c r="Z1096">
        <v>6.8000001907348597</v>
      </c>
      <c r="AA1096">
        <v>16.799999237060501</v>
      </c>
    </row>
    <row r="1097" spans="22:27" x14ac:dyDescent="0.25">
      <c r="V1097">
        <v>5</v>
      </c>
      <c r="W1097">
        <v>7.5</v>
      </c>
      <c r="X1097">
        <v>100</v>
      </c>
      <c r="Y1097">
        <v>7.9000000953674299</v>
      </c>
      <c r="Z1097">
        <v>6.8000001907348597</v>
      </c>
      <c r="AA1097">
        <v>18.299999237060501</v>
      </c>
    </row>
    <row r="1098" spans="22:27" x14ac:dyDescent="0.25">
      <c r="V1098">
        <v>5</v>
      </c>
      <c r="W1098">
        <v>7.5</v>
      </c>
      <c r="X1098">
        <v>110</v>
      </c>
      <c r="Y1098">
        <v>7.9000000953674299</v>
      </c>
      <c r="Z1098">
        <v>6.8000001907348597</v>
      </c>
      <c r="AA1098">
        <v>19.200000762939499</v>
      </c>
    </row>
    <row r="1099" spans="22:27" x14ac:dyDescent="0.25">
      <c r="V1099">
        <v>5</v>
      </c>
      <c r="W1099">
        <v>7.5</v>
      </c>
      <c r="X1099">
        <v>125</v>
      </c>
      <c r="Y1099">
        <v>7.9000000953674299</v>
      </c>
      <c r="Z1099">
        <v>6.8000001907348597</v>
      </c>
      <c r="AA1099">
        <v>19.899999618530298</v>
      </c>
    </row>
    <row r="1100" spans="22:27" x14ac:dyDescent="0.25">
      <c r="V1100">
        <v>5</v>
      </c>
      <c r="W1100">
        <v>7.5</v>
      </c>
      <c r="X1100">
        <v>135</v>
      </c>
      <c r="Y1100">
        <v>7.9000000953674299</v>
      </c>
      <c r="Z1100">
        <v>6.8000001907348597</v>
      </c>
      <c r="AA1100">
        <v>20.399999618530298</v>
      </c>
    </row>
    <row r="1101" spans="22:27" x14ac:dyDescent="0.25">
      <c r="V1101">
        <v>5</v>
      </c>
      <c r="W1101">
        <v>7.5</v>
      </c>
      <c r="X1101">
        <v>150</v>
      </c>
      <c r="Y1101">
        <v>7.9000000953674299</v>
      </c>
      <c r="Z1101">
        <v>6.8000001907348597</v>
      </c>
      <c r="AA1101">
        <v>21.200000762939499</v>
      </c>
    </row>
    <row r="1102" spans="22:27" x14ac:dyDescent="0.25">
      <c r="V1102">
        <v>5</v>
      </c>
      <c r="W1102">
        <v>10</v>
      </c>
      <c r="X1102">
        <v>80</v>
      </c>
      <c r="Y1102">
        <v>10.5</v>
      </c>
      <c r="Z1102">
        <v>9</v>
      </c>
      <c r="AA1102">
        <v>16.600000381469702</v>
      </c>
    </row>
    <row r="1103" spans="22:27" x14ac:dyDescent="0.25">
      <c r="V1103">
        <v>5</v>
      </c>
      <c r="W1103">
        <v>10</v>
      </c>
      <c r="X1103">
        <v>100</v>
      </c>
      <c r="Y1103">
        <v>10.5</v>
      </c>
      <c r="Z1103">
        <v>9</v>
      </c>
      <c r="AA1103">
        <v>18.100000381469702</v>
      </c>
    </row>
    <row r="1104" spans="22:27" x14ac:dyDescent="0.25">
      <c r="V1104">
        <v>5</v>
      </c>
      <c r="W1104">
        <v>10</v>
      </c>
      <c r="X1104">
        <v>110</v>
      </c>
      <c r="Y1104">
        <v>10.5</v>
      </c>
      <c r="Z1104">
        <v>9</v>
      </c>
      <c r="AA1104">
        <v>19</v>
      </c>
    </row>
    <row r="1105" spans="22:27" x14ac:dyDescent="0.25">
      <c r="V1105">
        <v>5</v>
      </c>
      <c r="W1105">
        <v>10</v>
      </c>
      <c r="X1105">
        <v>125</v>
      </c>
      <c r="Y1105">
        <v>10.5</v>
      </c>
      <c r="Z1105">
        <v>9</v>
      </c>
      <c r="AA1105">
        <v>19.700000762939499</v>
      </c>
    </row>
    <row r="1106" spans="22:27" x14ac:dyDescent="0.25">
      <c r="V1106">
        <v>5</v>
      </c>
      <c r="W1106">
        <v>10</v>
      </c>
      <c r="X1106">
        <v>135</v>
      </c>
      <c r="Y1106">
        <v>10.5</v>
      </c>
      <c r="Z1106">
        <v>9</v>
      </c>
      <c r="AA1106">
        <v>20.200000762939499</v>
      </c>
    </row>
    <row r="1107" spans="22:27" x14ac:dyDescent="0.25">
      <c r="V1107">
        <v>5</v>
      </c>
      <c r="W1107">
        <v>10</v>
      </c>
      <c r="X1107">
        <v>150</v>
      </c>
      <c r="Y1107">
        <v>10.5</v>
      </c>
      <c r="Z1107">
        <v>9</v>
      </c>
      <c r="AA1107">
        <v>21</v>
      </c>
    </row>
    <row r="1108" spans="22:27" x14ac:dyDescent="0.25">
      <c r="V1108">
        <v>5</v>
      </c>
      <c r="W1108">
        <v>15</v>
      </c>
      <c r="X1108">
        <v>80</v>
      </c>
      <c r="Y1108">
        <v>15.800000190734901</v>
      </c>
      <c r="Z1108">
        <v>13.3999996185303</v>
      </c>
      <c r="AA1108">
        <v>16.600000381469702</v>
      </c>
    </row>
    <row r="1109" spans="22:27" x14ac:dyDescent="0.25">
      <c r="V1109">
        <v>5</v>
      </c>
      <c r="W1109">
        <v>15</v>
      </c>
      <c r="X1109">
        <v>100</v>
      </c>
      <c r="Y1109">
        <v>15.800000190734901</v>
      </c>
      <c r="Z1109">
        <v>13.3999996185303</v>
      </c>
      <c r="AA1109">
        <v>18.100000381469702</v>
      </c>
    </row>
    <row r="1110" spans="22:27" x14ac:dyDescent="0.25">
      <c r="V1110">
        <v>5</v>
      </c>
      <c r="W1110">
        <v>15</v>
      </c>
      <c r="X1110">
        <v>110</v>
      </c>
      <c r="Y1110">
        <v>15.800000190734901</v>
      </c>
      <c r="Z1110">
        <v>13.3999996185303</v>
      </c>
      <c r="AA1110">
        <v>19</v>
      </c>
    </row>
    <row r="1111" spans="22:27" x14ac:dyDescent="0.25">
      <c r="V1111">
        <v>5</v>
      </c>
      <c r="W1111">
        <v>15</v>
      </c>
      <c r="X1111">
        <v>125</v>
      </c>
      <c r="Y1111">
        <v>15.800000190734901</v>
      </c>
      <c r="Z1111">
        <v>13.3999996185303</v>
      </c>
      <c r="AA1111">
        <v>19.700000762939499</v>
      </c>
    </row>
    <row r="1112" spans="22:27" x14ac:dyDescent="0.25">
      <c r="V1112">
        <v>5</v>
      </c>
      <c r="W1112">
        <v>15</v>
      </c>
      <c r="X1112">
        <v>135</v>
      </c>
      <c r="Y1112">
        <v>15.800000190734901</v>
      </c>
      <c r="Z1112">
        <v>13.3999996185303</v>
      </c>
      <c r="AA1112">
        <v>20.200000762939499</v>
      </c>
    </row>
    <row r="1113" spans="22:27" x14ac:dyDescent="0.25">
      <c r="V1113">
        <v>5</v>
      </c>
      <c r="W1113">
        <v>15</v>
      </c>
      <c r="X1113">
        <v>150</v>
      </c>
      <c r="Y1113">
        <v>15.800000190734901</v>
      </c>
      <c r="Z1113">
        <v>13.3999996185303</v>
      </c>
      <c r="AA1113">
        <v>21</v>
      </c>
    </row>
    <row r="1114" spans="22:27" x14ac:dyDescent="0.25">
      <c r="V1114">
        <v>5</v>
      </c>
      <c r="W1114">
        <v>20</v>
      </c>
      <c r="X1114">
        <v>80</v>
      </c>
      <c r="Y1114">
        <v>21</v>
      </c>
      <c r="Z1114">
        <v>17.5</v>
      </c>
      <c r="AA1114">
        <v>15.800000190734901</v>
      </c>
    </row>
    <row r="1115" spans="22:27" x14ac:dyDescent="0.25">
      <c r="V1115">
        <v>5</v>
      </c>
      <c r="W1115">
        <v>20</v>
      </c>
      <c r="X1115">
        <v>100</v>
      </c>
      <c r="Y1115">
        <v>21</v>
      </c>
      <c r="Z1115">
        <v>17.5</v>
      </c>
      <c r="AA1115">
        <v>17.200000762939499</v>
      </c>
    </row>
    <row r="1116" spans="22:27" x14ac:dyDescent="0.25">
      <c r="V1116">
        <v>5</v>
      </c>
      <c r="W1116">
        <v>20</v>
      </c>
      <c r="X1116">
        <v>110</v>
      </c>
      <c r="Y1116">
        <v>21</v>
      </c>
      <c r="Z1116">
        <v>17.5</v>
      </c>
      <c r="AA1116">
        <v>18</v>
      </c>
    </row>
    <row r="1117" spans="22:27" x14ac:dyDescent="0.25">
      <c r="V1117">
        <v>5</v>
      </c>
      <c r="W1117">
        <v>20</v>
      </c>
      <c r="X1117">
        <v>125</v>
      </c>
      <c r="Y1117">
        <v>21</v>
      </c>
      <c r="Z1117">
        <v>17.5</v>
      </c>
      <c r="AA1117">
        <v>18.700000762939499</v>
      </c>
    </row>
    <row r="1118" spans="22:27" x14ac:dyDescent="0.25">
      <c r="V1118">
        <v>5</v>
      </c>
      <c r="W1118">
        <v>20</v>
      </c>
      <c r="X1118">
        <v>135</v>
      </c>
      <c r="Y1118">
        <v>21</v>
      </c>
      <c r="Z1118">
        <v>17.5</v>
      </c>
      <c r="AA1118">
        <v>19.200000762939499</v>
      </c>
    </row>
    <row r="1119" spans="22:27" x14ac:dyDescent="0.25">
      <c r="V1119">
        <v>5</v>
      </c>
      <c r="W1119">
        <v>20</v>
      </c>
      <c r="X1119">
        <v>150</v>
      </c>
      <c r="Y1119">
        <v>21</v>
      </c>
      <c r="Z1119">
        <v>17.5</v>
      </c>
      <c r="AA1119">
        <v>19.899999618530298</v>
      </c>
    </row>
    <row r="1120" spans="22:27" x14ac:dyDescent="0.25">
      <c r="V1120">
        <v>5</v>
      </c>
      <c r="W1120">
        <v>25</v>
      </c>
      <c r="X1120">
        <v>80</v>
      </c>
      <c r="Y1120">
        <v>26.299999237060501</v>
      </c>
      <c r="Z1120">
        <v>21.700000762939499</v>
      </c>
      <c r="AA1120">
        <v>15.6000003814697</v>
      </c>
    </row>
    <row r="1121" spans="22:27" x14ac:dyDescent="0.25">
      <c r="V1121">
        <v>5</v>
      </c>
      <c r="W1121">
        <v>25</v>
      </c>
      <c r="X1121">
        <v>100</v>
      </c>
      <c r="Y1121">
        <v>26.299999237060501</v>
      </c>
      <c r="Z1121">
        <v>21.700000762939499</v>
      </c>
      <c r="AA1121">
        <v>17</v>
      </c>
    </row>
    <row r="1122" spans="22:27" x14ac:dyDescent="0.25">
      <c r="V1122">
        <v>5</v>
      </c>
      <c r="W1122">
        <v>25</v>
      </c>
      <c r="X1122">
        <v>110</v>
      </c>
      <c r="Y1122">
        <v>26.299999237060501</v>
      </c>
      <c r="Z1122">
        <v>21.700000762939499</v>
      </c>
      <c r="AA1122">
        <v>17.899999618530298</v>
      </c>
    </row>
    <row r="1123" spans="22:27" x14ac:dyDescent="0.25">
      <c r="V1123">
        <v>5</v>
      </c>
      <c r="W1123">
        <v>25</v>
      </c>
      <c r="X1123">
        <v>125</v>
      </c>
      <c r="Y1123">
        <v>26.299999237060501</v>
      </c>
      <c r="Z1123">
        <v>21.700000762939499</v>
      </c>
      <c r="AA1123">
        <v>18.5</v>
      </c>
    </row>
    <row r="1124" spans="22:27" x14ac:dyDescent="0.25">
      <c r="V1124">
        <v>5</v>
      </c>
      <c r="W1124">
        <v>25</v>
      </c>
      <c r="X1124">
        <v>135</v>
      </c>
      <c r="Y1124">
        <v>26.299999237060501</v>
      </c>
      <c r="Z1124">
        <v>21.700000762939499</v>
      </c>
      <c r="AA1124">
        <v>19</v>
      </c>
    </row>
    <row r="1125" spans="22:27" x14ac:dyDescent="0.25">
      <c r="V1125">
        <v>5</v>
      </c>
      <c r="W1125">
        <v>25</v>
      </c>
      <c r="X1125">
        <v>150</v>
      </c>
      <c r="Y1125">
        <v>26.299999237060501</v>
      </c>
      <c r="Z1125">
        <v>21.700000762939499</v>
      </c>
      <c r="AA1125">
        <v>19.799999237060501</v>
      </c>
    </row>
    <row r="1126" spans="22:27" x14ac:dyDescent="0.25">
      <c r="V1126">
        <v>5</v>
      </c>
      <c r="W1126">
        <v>30</v>
      </c>
      <c r="X1126">
        <v>80</v>
      </c>
      <c r="Y1126">
        <v>31.5</v>
      </c>
      <c r="Z1126">
        <v>25.799999237060501</v>
      </c>
      <c r="AA1126">
        <v>15.300000190734901</v>
      </c>
    </row>
    <row r="1127" spans="22:27" x14ac:dyDescent="0.25">
      <c r="V1127">
        <v>5</v>
      </c>
      <c r="W1127">
        <v>30</v>
      </c>
      <c r="X1127">
        <v>100</v>
      </c>
      <c r="Y1127">
        <v>31.5</v>
      </c>
      <c r="Z1127">
        <v>25.799999237060501</v>
      </c>
      <c r="AA1127">
        <v>16.799999237060501</v>
      </c>
    </row>
    <row r="1128" spans="22:27" x14ac:dyDescent="0.25">
      <c r="V1128">
        <v>5</v>
      </c>
      <c r="W1128">
        <v>30</v>
      </c>
      <c r="X1128">
        <v>110</v>
      </c>
      <c r="Y1128">
        <v>31.5</v>
      </c>
      <c r="Z1128">
        <v>25.799999237060501</v>
      </c>
      <c r="AA1128">
        <v>17.5</v>
      </c>
    </row>
    <row r="1129" spans="22:27" x14ac:dyDescent="0.25">
      <c r="V1129">
        <v>5</v>
      </c>
      <c r="W1129">
        <v>30</v>
      </c>
      <c r="X1129">
        <v>125</v>
      </c>
      <c r="Y1129">
        <v>31.5</v>
      </c>
      <c r="Z1129">
        <v>25.799999237060501</v>
      </c>
      <c r="AA1129">
        <v>18.399999618530298</v>
      </c>
    </row>
    <row r="1130" spans="22:27" x14ac:dyDescent="0.25">
      <c r="V1130">
        <v>5</v>
      </c>
      <c r="W1130">
        <v>30</v>
      </c>
      <c r="X1130">
        <v>135</v>
      </c>
      <c r="Y1130">
        <v>31.5</v>
      </c>
      <c r="Z1130">
        <v>25.799999237060501</v>
      </c>
      <c r="AA1130">
        <v>18.899999618530298</v>
      </c>
    </row>
    <row r="1131" spans="22:27" x14ac:dyDescent="0.25">
      <c r="V1131">
        <v>5</v>
      </c>
      <c r="W1131">
        <v>30</v>
      </c>
      <c r="X1131">
        <v>150</v>
      </c>
      <c r="Y1131">
        <v>31.5</v>
      </c>
      <c r="Z1131">
        <v>25.799999237060501</v>
      </c>
      <c r="AA1131">
        <v>19.600000381469702</v>
      </c>
    </row>
    <row r="1132" spans="22:27" x14ac:dyDescent="0.25">
      <c r="V1132">
        <v>5</v>
      </c>
      <c r="W1132">
        <v>40</v>
      </c>
      <c r="X1132">
        <v>80</v>
      </c>
      <c r="Y1132">
        <v>42</v>
      </c>
      <c r="Z1132">
        <v>34.700000762939503</v>
      </c>
      <c r="AA1132">
        <v>15.5</v>
      </c>
    </row>
    <row r="1133" spans="22:27" x14ac:dyDescent="0.25">
      <c r="V1133">
        <v>5</v>
      </c>
      <c r="W1133">
        <v>40</v>
      </c>
      <c r="X1133">
        <v>100</v>
      </c>
      <c r="Y1133">
        <v>42</v>
      </c>
      <c r="Z1133">
        <v>34.700000762939503</v>
      </c>
      <c r="AA1133">
        <v>17</v>
      </c>
    </row>
    <row r="1134" spans="22:27" x14ac:dyDescent="0.25">
      <c r="V1134">
        <v>5</v>
      </c>
      <c r="W1134">
        <v>40</v>
      </c>
      <c r="X1134">
        <v>110</v>
      </c>
      <c r="Y1134">
        <v>42</v>
      </c>
      <c r="Z1134">
        <v>34.700000762939503</v>
      </c>
      <c r="AA1134">
        <v>17.600000381469702</v>
      </c>
    </row>
    <row r="1135" spans="22:27" x14ac:dyDescent="0.25">
      <c r="V1135">
        <v>5</v>
      </c>
      <c r="W1135">
        <v>40</v>
      </c>
      <c r="X1135">
        <v>125</v>
      </c>
      <c r="Y1135">
        <v>42</v>
      </c>
      <c r="Z1135">
        <v>34.700000762939503</v>
      </c>
      <c r="AA1135">
        <v>18.5</v>
      </c>
    </row>
    <row r="1136" spans="22:27" x14ac:dyDescent="0.25">
      <c r="V1136">
        <v>5</v>
      </c>
      <c r="W1136">
        <v>40</v>
      </c>
      <c r="X1136">
        <v>135</v>
      </c>
      <c r="Y1136">
        <v>42</v>
      </c>
      <c r="Z1136">
        <v>34.700000762939503</v>
      </c>
      <c r="AA1136">
        <v>19.100000381469702</v>
      </c>
    </row>
    <row r="1137" spans="22:27" x14ac:dyDescent="0.25">
      <c r="V1137">
        <v>5</v>
      </c>
      <c r="W1137">
        <v>40</v>
      </c>
      <c r="X1137">
        <v>150</v>
      </c>
      <c r="Y1137">
        <v>42</v>
      </c>
      <c r="Z1137">
        <v>34.700000762939503</v>
      </c>
      <c r="AA1137">
        <v>19.799999237060501</v>
      </c>
    </row>
    <row r="1138" spans="22:27" x14ac:dyDescent="0.25">
      <c r="V1138">
        <v>5</v>
      </c>
      <c r="W1138">
        <v>50</v>
      </c>
      <c r="X1138">
        <v>80</v>
      </c>
      <c r="Y1138">
        <v>52.5</v>
      </c>
      <c r="Z1138">
        <v>42.700000762939503</v>
      </c>
      <c r="AA1138">
        <v>15.199999809265099</v>
      </c>
    </row>
    <row r="1139" spans="22:27" x14ac:dyDescent="0.25">
      <c r="V1139">
        <v>5</v>
      </c>
      <c r="W1139">
        <v>50</v>
      </c>
      <c r="X1139">
        <v>100</v>
      </c>
      <c r="Y1139">
        <v>52.5</v>
      </c>
      <c r="Z1139">
        <v>42.700000762939503</v>
      </c>
      <c r="AA1139">
        <v>16.700000762939499</v>
      </c>
    </row>
    <row r="1140" spans="22:27" x14ac:dyDescent="0.25">
      <c r="V1140">
        <v>5</v>
      </c>
      <c r="W1140">
        <v>50</v>
      </c>
      <c r="X1140">
        <v>110</v>
      </c>
      <c r="Y1140">
        <v>52.5</v>
      </c>
      <c r="Z1140">
        <v>42.700000762939503</v>
      </c>
      <c r="AA1140">
        <v>17.299999237060501</v>
      </c>
    </row>
    <row r="1141" spans="22:27" x14ac:dyDescent="0.25">
      <c r="V1141">
        <v>5</v>
      </c>
      <c r="W1141">
        <v>50</v>
      </c>
      <c r="X1141">
        <v>125</v>
      </c>
      <c r="Y1141">
        <v>52.5</v>
      </c>
      <c r="Z1141">
        <v>42.700000762939503</v>
      </c>
      <c r="AA1141">
        <v>18.200000762939499</v>
      </c>
    </row>
    <row r="1142" spans="22:27" x14ac:dyDescent="0.25">
      <c r="V1142">
        <v>5</v>
      </c>
      <c r="W1142">
        <v>50</v>
      </c>
      <c r="X1142">
        <v>135</v>
      </c>
      <c r="Y1142">
        <v>52.5</v>
      </c>
      <c r="Z1142">
        <v>42.700000762939503</v>
      </c>
      <c r="AA1142">
        <v>18.799999237060501</v>
      </c>
    </row>
    <row r="1143" spans="22:27" x14ac:dyDescent="0.25">
      <c r="V1143">
        <v>5</v>
      </c>
      <c r="W1143">
        <v>50</v>
      </c>
      <c r="X1143">
        <v>150</v>
      </c>
      <c r="Y1143">
        <v>52.5</v>
      </c>
      <c r="Z1143">
        <v>42.700000762939503</v>
      </c>
      <c r="AA1143">
        <v>19.399999618530298</v>
      </c>
    </row>
    <row r="1144" spans="22:27" x14ac:dyDescent="0.25">
      <c r="V1144">
        <v>5</v>
      </c>
      <c r="W1144">
        <v>60</v>
      </c>
      <c r="X1144">
        <v>80</v>
      </c>
      <c r="Y1144">
        <v>63</v>
      </c>
      <c r="Z1144">
        <v>51.299999237060497</v>
      </c>
      <c r="AA1144">
        <v>15.199999809265099</v>
      </c>
    </row>
    <row r="1145" spans="22:27" x14ac:dyDescent="0.25">
      <c r="V1145">
        <v>5</v>
      </c>
      <c r="W1145">
        <v>60</v>
      </c>
      <c r="X1145">
        <v>100</v>
      </c>
      <c r="Y1145">
        <v>63</v>
      </c>
      <c r="Z1145">
        <v>51.299999237060497</v>
      </c>
      <c r="AA1145">
        <v>16.700000762939499</v>
      </c>
    </row>
    <row r="1146" spans="22:27" x14ac:dyDescent="0.25">
      <c r="V1146">
        <v>5</v>
      </c>
      <c r="W1146">
        <v>60</v>
      </c>
      <c r="X1146">
        <v>110</v>
      </c>
      <c r="Y1146">
        <v>63</v>
      </c>
      <c r="Z1146">
        <v>51.299999237060497</v>
      </c>
      <c r="AA1146">
        <v>17.299999237060501</v>
      </c>
    </row>
    <row r="1147" spans="22:27" x14ac:dyDescent="0.25">
      <c r="V1147">
        <v>5</v>
      </c>
      <c r="W1147">
        <v>60</v>
      </c>
      <c r="X1147">
        <v>125</v>
      </c>
      <c r="Y1147">
        <v>63</v>
      </c>
      <c r="Z1147">
        <v>51.299999237060497</v>
      </c>
      <c r="AA1147">
        <v>18.200000762939499</v>
      </c>
    </row>
    <row r="1148" spans="22:27" x14ac:dyDescent="0.25">
      <c r="V1148">
        <v>5</v>
      </c>
      <c r="W1148">
        <v>60</v>
      </c>
      <c r="X1148">
        <v>135</v>
      </c>
      <c r="Y1148">
        <v>63</v>
      </c>
      <c r="Z1148">
        <v>51.299999237060497</v>
      </c>
      <c r="AA1148">
        <v>18.799999237060501</v>
      </c>
    </row>
    <row r="1149" spans="22:27" x14ac:dyDescent="0.25">
      <c r="V1149">
        <v>5</v>
      </c>
      <c r="W1149">
        <v>60</v>
      </c>
      <c r="X1149">
        <v>150</v>
      </c>
      <c r="Y1149">
        <v>63</v>
      </c>
      <c r="Z1149">
        <v>51.299999237060497</v>
      </c>
      <c r="AA1149">
        <v>19.399999618530298</v>
      </c>
    </row>
    <row r="1150" spans="22:27" x14ac:dyDescent="0.25">
      <c r="V1150">
        <v>5</v>
      </c>
      <c r="W1150">
        <v>75</v>
      </c>
      <c r="X1150">
        <v>80</v>
      </c>
      <c r="Y1150">
        <v>78.800003051757798</v>
      </c>
      <c r="Z1150">
        <v>64.099998474121094</v>
      </c>
      <c r="AA1150">
        <v>13.800000190734901</v>
      </c>
    </row>
    <row r="1151" spans="22:27" x14ac:dyDescent="0.25">
      <c r="V1151">
        <v>5</v>
      </c>
      <c r="W1151">
        <v>75</v>
      </c>
      <c r="X1151">
        <v>80</v>
      </c>
      <c r="Y1151">
        <v>78.800003051757798</v>
      </c>
      <c r="Z1151">
        <v>64.099998474121094</v>
      </c>
      <c r="AA1151">
        <v>13.800000190734901</v>
      </c>
    </row>
    <row r="1152" spans="22:27" x14ac:dyDescent="0.25">
      <c r="V1152">
        <v>5</v>
      </c>
      <c r="W1152">
        <v>75</v>
      </c>
      <c r="X1152">
        <v>100</v>
      </c>
      <c r="Y1152">
        <v>78.800003051757798</v>
      </c>
      <c r="Z1152">
        <v>64.099998474121094</v>
      </c>
      <c r="AA1152">
        <v>15.3999996185303</v>
      </c>
    </row>
    <row r="1153" spans="22:27" x14ac:dyDescent="0.25">
      <c r="V1153">
        <v>5</v>
      </c>
      <c r="W1153">
        <v>75</v>
      </c>
      <c r="X1153">
        <v>100</v>
      </c>
      <c r="Y1153">
        <v>78.800003051757798</v>
      </c>
      <c r="Z1153">
        <v>64.099998474121094</v>
      </c>
      <c r="AA1153">
        <v>15.3999996185303</v>
      </c>
    </row>
    <row r="1154" spans="22:27" x14ac:dyDescent="0.25">
      <c r="V1154">
        <v>5</v>
      </c>
      <c r="W1154">
        <v>75</v>
      </c>
      <c r="X1154">
        <v>110</v>
      </c>
      <c r="Y1154">
        <v>78.800003051757798</v>
      </c>
      <c r="Z1154">
        <v>64.099998474121094</v>
      </c>
      <c r="AA1154">
        <v>16.100000381469702</v>
      </c>
    </row>
    <row r="1155" spans="22:27" x14ac:dyDescent="0.25">
      <c r="V1155">
        <v>5</v>
      </c>
      <c r="W1155">
        <v>75</v>
      </c>
      <c r="X1155">
        <v>110</v>
      </c>
      <c r="Y1155">
        <v>78.800003051757798</v>
      </c>
      <c r="Z1155">
        <v>64.099998474121094</v>
      </c>
      <c r="AA1155">
        <v>16.100000381469702</v>
      </c>
    </row>
    <row r="1156" spans="22:27" x14ac:dyDescent="0.25">
      <c r="V1156">
        <v>5</v>
      </c>
      <c r="W1156">
        <v>75</v>
      </c>
      <c r="X1156">
        <v>115</v>
      </c>
      <c r="Y1156">
        <v>78.800003051757798</v>
      </c>
      <c r="Z1156">
        <v>64.099998474121094</v>
      </c>
      <c r="AA1156">
        <v>16.399999618530298</v>
      </c>
    </row>
    <row r="1157" spans="22:27" x14ac:dyDescent="0.25">
      <c r="V1157">
        <v>5</v>
      </c>
      <c r="W1157">
        <v>75</v>
      </c>
      <c r="X1157">
        <v>115</v>
      </c>
      <c r="Y1157">
        <v>78.800003051757798</v>
      </c>
      <c r="Z1157">
        <v>64.099998474121094</v>
      </c>
      <c r="AA1157">
        <v>16.399999618530298</v>
      </c>
    </row>
    <row r="1158" spans="22:27" x14ac:dyDescent="0.25">
      <c r="V1158">
        <v>5</v>
      </c>
      <c r="W1158">
        <v>75</v>
      </c>
      <c r="X1158">
        <v>125</v>
      </c>
      <c r="Y1158">
        <v>78.800003051757798</v>
      </c>
      <c r="Z1158">
        <v>64.099998474121094</v>
      </c>
      <c r="AA1158">
        <v>17.100000381469702</v>
      </c>
    </row>
    <row r="1159" spans="22:27" x14ac:dyDescent="0.25">
      <c r="V1159">
        <v>5</v>
      </c>
      <c r="W1159">
        <v>75</v>
      </c>
      <c r="X1159">
        <v>125</v>
      </c>
      <c r="Y1159">
        <v>78.800003051757798</v>
      </c>
      <c r="Z1159">
        <v>64.099998474121094</v>
      </c>
      <c r="AA1159">
        <v>17.100000381469702</v>
      </c>
    </row>
    <row r="1160" spans="22:27" x14ac:dyDescent="0.25">
      <c r="V1160">
        <v>5</v>
      </c>
      <c r="W1160">
        <v>75</v>
      </c>
      <c r="X1160">
        <v>130</v>
      </c>
      <c r="Y1160">
        <v>78.800003051757798</v>
      </c>
      <c r="Z1160">
        <v>64.099998474121094</v>
      </c>
      <c r="AA1160">
        <v>17.5</v>
      </c>
    </row>
    <row r="1161" spans="22:27" x14ac:dyDescent="0.25">
      <c r="V1161">
        <v>5</v>
      </c>
      <c r="W1161">
        <v>75</v>
      </c>
      <c r="X1161">
        <v>130</v>
      </c>
      <c r="Y1161">
        <v>78.800003051757798</v>
      </c>
      <c r="Z1161">
        <v>64.099998474121094</v>
      </c>
      <c r="AA1161">
        <v>17.5</v>
      </c>
    </row>
    <row r="1162" spans="22:27" x14ac:dyDescent="0.25">
      <c r="V1162">
        <v>5</v>
      </c>
      <c r="W1162">
        <v>75</v>
      </c>
      <c r="X1162">
        <v>140</v>
      </c>
      <c r="Y1162">
        <v>78.800003051757798</v>
      </c>
      <c r="Z1162">
        <v>64.099998474121094</v>
      </c>
      <c r="AA1162">
        <v>18.100000381469702</v>
      </c>
    </row>
    <row r="1163" spans="22:27" x14ac:dyDescent="0.25">
      <c r="V1163">
        <v>5</v>
      </c>
      <c r="W1163">
        <v>75</v>
      </c>
      <c r="X1163">
        <v>140</v>
      </c>
      <c r="Y1163">
        <v>78.800003051757798</v>
      </c>
      <c r="Z1163">
        <v>64.099998474121094</v>
      </c>
      <c r="AA1163">
        <v>18.100000381469702</v>
      </c>
    </row>
    <row r="1164" spans="22:27" x14ac:dyDescent="0.25">
      <c r="V1164">
        <v>5</v>
      </c>
      <c r="W1164">
        <v>75</v>
      </c>
      <c r="X1164">
        <v>150</v>
      </c>
      <c r="Y1164">
        <v>78.800003051757798</v>
      </c>
      <c r="Z1164">
        <v>64.099998474121094</v>
      </c>
      <c r="AA1164">
        <v>18.399999618530298</v>
      </c>
    </row>
    <row r="1165" spans="22:27" x14ac:dyDescent="0.25">
      <c r="V1165">
        <v>5</v>
      </c>
      <c r="W1165">
        <v>75</v>
      </c>
      <c r="X1165">
        <v>150</v>
      </c>
      <c r="Y1165">
        <v>78.800003051757798</v>
      </c>
      <c r="Z1165">
        <v>64.099998474121094</v>
      </c>
      <c r="AA1165">
        <v>18.399999618530298</v>
      </c>
    </row>
    <row r="1166" spans="22:27" x14ac:dyDescent="0.25">
      <c r="V1166">
        <v>5</v>
      </c>
      <c r="W1166">
        <v>100</v>
      </c>
      <c r="X1166">
        <v>80</v>
      </c>
      <c r="Y1166">
        <v>105</v>
      </c>
      <c r="Z1166">
        <v>85.400001525878906</v>
      </c>
      <c r="AA1166">
        <v>14.300000190734901</v>
      </c>
    </row>
    <row r="1167" spans="22:27" x14ac:dyDescent="0.25">
      <c r="V1167">
        <v>5</v>
      </c>
      <c r="W1167">
        <v>100</v>
      </c>
      <c r="X1167">
        <v>80</v>
      </c>
      <c r="Y1167">
        <v>105</v>
      </c>
      <c r="Z1167">
        <v>85.400001525878906</v>
      </c>
      <c r="AA1167">
        <v>14.300000190734901</v>
      </c>
    </row>
    <row r="1168" spans="22:27" x14ac:dyDescent="0.25">
      <c r="V1168">
        <v>5</v>
      </c>
      <c r="W1168">
        <v>100</v>
      </c>
      <c r="X1168">
        <v>100</v>
      </c>
      <c r="Y1168">
        <v>105</v>
      </c>
      <c r="Z1168">
        <v>85.400001525878906</v>
      </c>
      <c r="AA1168">
        <v>15.699999809265099</v>
      </c>
    </row>
    <row r="1169" spans="22:27" x14ac:dyDescent="0.25">
      <c r="V1169">
        <v>5</v>
      </c>
      <c r="W1169">
        <v>100</v>
      </c>
      <c r="X1169">
        <v>100</v>
      </c>
      <c r="Y1169">
        <v>105</v>
      </c>
      <c r="Z1169">
        <v>85.400001525878906</v>
      </c>
      <c r="AA1169">
        <v>15.699999809265099</v>
      </c>
    </row>
    <row r="1170" spans="22:27" x14ac:dyDescent="0.25">
      <c r="V1170">
        <v>5</v>
      </c>
      <c r="W1170">
        <v>100</v>
      </c>
      <c r="X1170">
        <v>110</v>
      </c>
      <c r="Y1170">
        <v>105</v>
      </c>
      <c r="Z1170">
        <v>85.400001525878906</v>
      </c>
      <c r="AA1170">
        <v>16.399999618530298</v>
      </c>
    </row>
    <row r="1171" spans="22:27" x14ac:dyDescent="0.25">
      <c r="V1171">
        <v>5</v>
      </c>
      <c r="W1171">
        <v>100</v>
      </c>
      <c r="X1171">
        <v>110</v>
      </c>
      <c r="Y1171">
        <v>105</v>
      </c>
      <c r="Z1171">
        <v>85.400001525878906</v>
      </c>
      <c r="AA1171">
        <v>16.399999618530298</v>
      </c>
    </row>
    <row r="1172" spans="22:27" x14ac:dyDescent="0.25">
      <c r="V1172">
        <v>5</v>
      </c>
      <c r="W1172">
        <v>100</v>
      </c>
      <c r="X1172">
        <v>115</v>
      </c>
      <c r="Y1172">
        <v>105</v>
      </c>
      <c r="Z1172">
        <v>85.400001525878906</v>
      </c>
      <c r="AA1172">
        <v>16.600000381469702</v>
      </c>
    </row>
    <row r="1173" spans="22:27" x14ac:dyDescent="0.25">
      <c r="V1173">
        <v>5</v>
      </c>
      <c r="W1173">
        <v>100</v>
      </c>
      <c r="X1173">
        <v>115</v>
      </c>
      <c r="Y1173">
        <v>105</v>
      </c>
      <c r="Z1173">
        <v>85.400001525878906</v>
      </c>
      <c r="AA1173">
        <v>16.600000381469702</v>
      </c>
    </row>
    <row r="1174" spans="22:27" x14ac:dyDescent="0.25">
      <c r="V1174">
        <v>5</v>
      </c>
      <c r="W1174">
        <v>100</v>
      </c>
      <c r="X1174">
        <v>125</v>
      </c>
      <c r="Y1174">
        <v>105</v>
      </c>
      <c r="Z1174">
        <v>85.400001525878906</v>
      </c>
      <c r="AA1174">
        <v>17.200000762939499</v>
      </c>
    </row>
    <row r="1175" spans="22:27" x14ac:dyDescent="0.25">
      <c r="V1175">
        <v>5</v>
      </c>
      <c r="W1175">
        <v>100</v>
      </c>
      <c r="X1175">
        <v>125</v>
      </c>
      <c r="Y1175">
        <v>105</v>
      </c>
      <c r="Z1175">
        <v>85.400001525878906</v>
      </c>
      <c r="AA1175">
        <v>17.200000762939499</v>
      </c>
    </row>
    <row r="1176" spans="22:27" x14ac:dyDescent="0.25">
      <c r="V1176">
        <v>5</v>
      </c>
      <c r="W1176">
        <v>100</v>
      </c>
      <c r="X1176">
        <v>130</v>
      </c>
      <c r="Y1176">
        <v>105</v>
      </c>
      <c r="Z1176">
        <v>85.400001525878906</v>
      </c>
      <c r="AA1176">
        <v>17.5</v>
      </c>
    </row>
    <row r="1177" spans="22:27" x14ac:dyDescent="0.25">
      <c r="V1177">
        <v>5</v>
      </c>
      <c r="W1177">
        <v>100</v>
      </c>
      <c r="X1177">
        <v>130</v>
      </c>
      <c r="Y1177">
        <v>105</v>
      </c>
      <c r="Z1177">
        <v>85.400001525878906</v>
      </c>
      <c r="AA1177">
        <v>17.5</v>
      </c>
    </row>
    <row r="1178" spans="22:27" x14ac:dyDescent="0.25">
      <c r="V1178">
        <v>5</v>
      </c>
      <c r="W1178">
        <v>100</v>
      </c>
      <c r="X1178">
        <v>140</v>
      </c>
      <c r="Y1178">
        <v>105</v>
      </c>
      <c r="Z1178">
        <v>85.400001525878906</v>
      </c>
      <c r="AA1178">
        <v>18</v>
      </c>
    </row>
    <row r="1179" spans="22:27" x14ac:dyDescent="0.25">
      <c r="V1179">
        <v>5</v>
      </c>
      <c r="W1179">
        <v>100</v>
      </c>
      <c r="X1179">
        <v>140</v>
      </c>
      <c r="Y1179">
        <v>105</v>
      </c>
      <c r="Z1179">
        <v>85.400001525878906</v>
      </c>
      <c r="AA1179">
        <v>18</v>
      </c>
    </row>
    <row r="1180" spans="22:27" x14ac:dyDescent="0.25">
      <c r="V1180">
        <v>5</v>
      </c>
      <c r="W1180">
        <v>100</v>
      </c>
      <c r="X1180">
        <v>150</v>
      </c>
      <c r="Y1180">
        <v>105</v>
      </c>
      <c r="Z1180">
        <v>85.400001525878906</v>
      </c>
      <c r="AA1180">
        <v>18.5</v>
      </c>
    </row>
    <row r="1181" spans="22:27" x14ac:dyDescent="0.25">
      <c r="V1181">
        <v>5</v>
      </c>
      <c r="W1181">
        <v>100</v>
      </c>
      <c r="X1181">
        <v>150</v>
      </c>
      <c r="Y1181">
        <v>105</v>
      </c>
      <c r="Z1181">
        <v>85.400001525878906</v>
      </c>
      <c r="AA1181">
        <v>18.5</v>
      </c>
    </row>
    <row r="1182" spans="22:27" x14ac:dyDescent="0.25">
      <c r="V1182">
        <v>5</v>
      </c>
      <c r="W1182">
        <v>125</v>
      </c>
      <c r="X1182">
        <v>80</v>
      </c>
      <c r="Y1182">
        <v>131.30000305175801</v>
      </c>
      <c r="Z1182">
        <v>106</v>
      </c>
      <c r="AA1182">
        <v>13.5</v>
      </c>
    </row>
    <row r="1183" spans="22:27" x14ac:dyDescent="0.25">
      <c r="V1183">
        <v>5</v>
      </c>
      <c r="W1183">
        <v>125</v>
      </c>
      <c r="X1183">
        <v>80</v>
      </c>
      <c r="Y1183">
        <v>131.30000305175801</v>
      </c>
      <c r="Z1183">
        <v>106</v>
      </c>
      <c r="AA1183">
        <v>13.5</v>
      </c>
    </row>
    <row r="1184" spans="22:27" x14ac:dyDescent="0.25">
      <c r="V1184">
        <v>5</v>
      </c>
      <c r="W1184">
        <v>125</v>
      </c>
      <c r="X1184">
        <v>100</v>
      </c>
      <c r="Y1184">
        <v>131.30000305175801</v>
      </c>
      <c r="Z1184">
        <v>106</v>
      </c>
      <c r="AA1184">
        <v>15</v>
      </c>
    </row>
    <row r="1185" spans="22:27" x14ac:dyDescent="0.25">
      <c r="V1185">
        <v>5</v>
      </c>
      <c r="W1185">
        <v>125</v>
      </c>
      <c r="X1185">
        <v>100</v>
      </c>
      <c r="Y1185">
        <v>131.30000305175801</v>
      </c>
      <c r="Z1185">
        <v>106</v>
      </c>
      <c r="AA1185">
        <v>15</v>
      </c>
    </row>
    <row r="1186" spans="22:27" x14ac:dyDescent="0.25">
      <c r="V1186">
        <v>5</v>
      </c>
      <c r="W1186">
        <v>125</v>
      </c>
      <c r="X1186">
        <v>110</v>
      </c>
      <c r="Y1186">
        <v>131.30000305175801</v>
      </c>
      <c r="Z1186">
        <v>106</v>
      </c>
      <c r="AA1186">
        <v>15.699999809265099</v>
      </c>
    </row>
    <row r="1187" spans="22:27" x14ac:dyDescent="0.25">
      <c r="V1187">
        <v>5</v>
      </c>
      <c r="W1187">
        <v>125</v>
      </c>
      <c r="X1187">
        <v>110</v>
      </c>
      <c r="Y1187">
        <v>131.30000305175801</v>
      </c>
      <c r="Z1187">
        <v>106</v>
      </c>
      <c r="AA1187">
        <v>15.699999809265099</v>
      </c>
    </row>
    <row r="1188" spans="22:27" x14ac:dyDescent="0.25">
      <c r="V1188">
        <v>5</v>
      </c>
      <c r="W1188">
        <v>125</v>
      </c>
      <c r="X1188">
        <v>115</v>
      </c>
      <c r="Y1188">
        <v>131.30000305175801</v>
      </c>
      <c r="Z1188">
        <v>106</v>
      </c>
      <c r="AA1188">
        <v>16.100000381469702</v>
      </c>
    </row>
    <row r="1189" spans="22:27" x14ac:dyDescent="0.25">
      <c r="V1189">
        <v>5</v>
      </c>
      <c r="W1189">
        <v>125</v>
      </c>
      <c r="X1189">
        <v>115</v>
      </c>
      <c r="Y1189">
        <v>131.30000305175801</v>
      </c>
      <c r="Z1189">
        <v>106</v>
      </c>
      <c r="AA1189">
        <v>16.100000381469702</v>
      </c>
    </row>
    <row r="1190" spans="22:27" x14ac:dyDescent="0.25">
      <c r="V1190">
        <v>5</v>
      </c>
      <c r="W1190">
        <v>125</v>
      </c>
      <c r="X1190">
        <v>125</v>
      </c>
      <c r="Y1190">
        <v>131.30000305175801</v>
      </c>
      <c r="Z1190">
        <v>106</v>
      </c>
      <c r="AA1190">
        <v>16.700000762939499</v>
      </c>
    </row>
    <row r="1191" spans="22:27" x14ac:dyDescent="0.25">
      <c r="V1191">
        <v>5</v>
      </c>
      <c r="W1191">
        <v>125</v>
      </c>
      <c r="X1191">
        <v>125</v>
      </c>
      <c r="Y1191">
        <v>131.30000305175801</v>
      </c>
      <c r="Z1191">
        <v>106</v>
      </c>
      <c r="AA1191">
        <v>16.700000762939499</v>
      </c>
    </row>
    <row r="1192" spans="22:27" x14ac:dyDescent="0.25">
      <c r="V1192">
        <v>5</v>
      </c>
      <c r="W1192">
        <v>125</v>
      </c>
      <c r="X1192">
        <v>130</v>
      </c>
      <c r="Y1192">
        <v>131.30000305175801</v>
      </c>
      <c r="Z1192">
        <v>106</v>
      </c>
      <c r="AA1192">
        <v>17.100000381469702</v>
      </c>
    </row>
    <row r="1193" spans="22:27" x14ac:dyDescent="0.25">
      <c r="V1193">
        <v>5</v>
      </c>
      <c r="W1193">
        <v>125</v>
      </c>
      <c r="X1193">
        <v>130</v>
      </c>
      <c r="Y1193">
        <v>131.30000305175801</v>
      </c>
      <c r="Z1193">
        <v>106</v>
      </c>
      <c r="AA1193">
        <v>17.100000381469702</v>
      </c>
    </row>
    <row r="1194" spans="22:27" x14ac:dyDescent="0.25">
      <c r="V1194">
        <v>5</v>
      </c>
      <c r="W1194">
        <v>125</v>
      </c>
      <c r="X1194">
        <v>140</v>
      </c>
      <c r="Y1194">
        <v>131.30000305175801</v>
      </c>
      <c r="Z1194">
        <v>106</v>
      </c>
      <c r="AA1194">
        <v>17.700000762939499</v>
      </c>
    </row>
    <row r="1195" spans="22:27" x14ac:dyDescent="0.25">
      <c r="V1195">
        <v>5</v>
      </c>
      <c r="W1195">
        <v>125</v>
      </c>
      <c r="X1195">
        <v>140</v>
      </c>
      <c r="Y1195">
        <v>131.30000305175801</v>
      </c>
      <c r="Z1195">
        <v>106</v>
      </c>
      <c r="AA1195">
        <v>17.700000762939499</v>
      </c>
    </row>
    <row r="1196" spans="22:27" x14ac:dyDescent="0.25">
      <c r="V1196">
        <v>5</v>
      </c>
      <c r="W1196">
        <v>125</v>
      </c>
      <c r="X1196">
        <v>150</v>
      </c>
      <c r="Y1196">
        <v>131.30000305175801</v>
      </c>
      <c r="Z1196">
        <v>106</v>
      </c>
      <c r="AA1196">
        <v>18.200000762939499</v>
      </c>
    </row>
    <row r="1197" spans="22:27" x14ac:dyDescent="0.25">
      <c r="V1197">
        <v>5</v>
      </c>
      <c r="W1197">
        <v>125</v>
      </c>
      <c r="X1197">
        <v>150</v>
      </c>
      <c r="Y1197">
        <v>131.30000305175801</v>
      </c>
      <c r="Z1197">
        <v>106</v>
      </c>
      <c r="AA1197">
        <v>18.200000762939499</v>
      </c>
    </row>
    <row r="1198" spans="22:27" x14ac:dyDescent="0.25">
      <c r="V1198">
        <v>5</v>
      </c>
      <c r="W1198">
        <v>150</v>
      </c>
      <c r="X1198">
        <v>80</v>
      </c>
      <c r="Y1198">
        <v>157.5</v>
      </c>
      <c r="Z1198">
        <v>126.300003051758</v>
      </c>
      <c r="AA1198">
        <v>13.300000190734901</v>
      </c>
    </row>
    <row r="1199" spans="22:27" x14ac:dyDescent="0.25">
      <c r="V1199">
        <v>5</v>
      </c>
      <c r="W1199">
        <v>150</v>
      </c>
      <c r="X1199">
        <v>80</v>
      </c>
      <c r="Y1199">
        <v>157.5</v>
      </c>
      <c r="Z1199">
        <v>126.300003051758</v>
      </c>
      <c r="AA1199">
        <v>13.300000190734901</v>
      </c>
    </row>
    <row r="1200" spans="22:27" x14ac:dyDescent="0.25">
      <c r="V1200">
        <v>5</v>
      </c>
      <c r="W1200">
        <v>150</v>
      </c>
      <c r="X1200">
        <v>100</v>
      </c>
      <c r="Y1200">
        <v>157.5</v>
      </c>
      <c r="Z1200">
        <v>126.300003051758</v>
      </c>
      <c r="AA1200">
        <v>14.8999996185303</v>
      </c>
    </row>
    <row r="1201" spans="22:27" x14ac:dyDescent="0.25">
      <c r="V1201">
        <v>5</v>
      </c>
      <c r="W1201">
        <v>150</v>
      </c>
      <c r="X1201">
        <v>100</v>
      </c>
      <c r="Y1201">
        <v>157.5</v>
      </c>
      <c r="Z1201">
        <v>126.300003051758</v>
      </c>
      <c r="AA1201">
        <v>14.8999996185303</v>
      </c>
    </row>
    <row r="1202" spans="22:27" x14ac:dyDescent="0.25">
      <c r="V1202">
        <v>5</v>
      </c>
      <c r="W1202">
        <v>150</v>
      </c>
      <c r="X1202">
        <v>110</v>
      </c>
      <c r="Y1202">
        <v>157.5</v>
      </c>
      <c r="Z1202">
        <v>126.300003051758</v>
      </c>
      <c r="AA1202">
        <v>15.6000003814697</v>
      </c>
    </row>
    <row r="1203" spans="22:27" x14ac:dyDescent="0.25">
      <c r="V1203">
        <v>5</v>
      </c>
      <c r="W1203">
        <v>150</v>
      </c>
      <c r="X1203">
        <v>110</v>
      </c>
      <c r="Y1203">
        <v>157.5</v>
      </c>
      <c r="Z1203">
        <v>126.300003051758</v>
      </c>
      <c r="AA1203">
        <v>15.6000003814697</v>
      </c>
    </row>
    <row r="1204" spans="22:27" x14ac:dyDescent="0.25">
      <c r="V1204">
        <v>5</v>
      </c>
      <c r="W1204">
        <v>150</v>
      </c>
      <c r="X1204">
        <v>115</v>
      </c>
      <c r="Y1204">
        <v>157.5</v>
      </c>
      <c r="Z1204">
        <v>126.300003051758</v>
      </c>
      <c r="AA1204">
        <v>16</v>
      </c>
    </row>
    <row r="1205" spans="22:27" x14ac:dyDescent="0.25">
      <c r="V1205">
        <v>5</v>
      </c>
      <c r="W1205">
        <v>150</v>
      </c>
      <c r="X1205">
        <v>115</v>
      </c>
      <c r="Y1205">
        <v>157.5</v>
      </c>
      <c r="Z1205">
        <v>126.300003051758</v>
      </c>
      <c r="AA1205">
        <v>16</v>
      </c>
    </row>
    <row r="1206" spans="22:27" x14ac:dyDescent="0.25">
      <c r="V1206">
        <v>5</v>
      </c>
      <c r="W1206">
        <v>150</v>
      </c>
      <c r="X1206">
        <v>125</v>
      </c>
      <c r="Y1206">
        <v>157.5</v>
      </c>
      <c r="Z1206">
        <v>126.300003051758</v>
      </c>
      <c r="AA1206">
        <v>16.600000381469702</v>
      </c>
    </row>
    <row r="1207" spans="22:27" x14ac:dyDescent="0.25">
      <c r="V1207">
        <v>5</v>
      </c>
      <c r="W1207">
        <v>150</v>
      </c>
      <c r="X1207">
        <v>125</v>
      </c>
      <c r="Y1207">
        <v>157.5</v>
      </c>
      <c r="Z1207">
        <v>126.300003051758</v>
      </c>
      <c r="AA1207">
        <v>16.600000381469702</v>
      </c>
    </row>
    <row r="1208" spans="22:27" x14ac:dyDescent="0.25">
      <c r="V1208">
        <v>5</v>
      </c>
      <c r="W1208">
        <v>150</v>
      </c>
      <c r="X1208">
        <v>130</v>
      </c>
      <c r="Y1208">
        <v>157.5</v>
      </c>
      <c r="Z1208">
        <v>126.300003051758</v>
      </c>
      <c r="AA1208">
        <v>17.100000381469702</v>
      </c>
    </row>
    <row r="1209" spans="22:27" x14ac:dyDescent="0.25">
      <c r="V1209">
        <v>5</v>
      </c>
      <c r="W1209">
        <v>150</v>
      </c>
      <c r="X1209">
        <v>130</v>
      </c>
      <c r="Y1209">
        <v>157.5</v>
      </c>
      <c r="Z1209">
        <v>126.300003051758</v>
      </c>
      <c r="AA1209">
        <v>17.100000381469702</v>
      </c>
    </row>
    <row r="1210" spans="22:27" x14ac:dyDescent="0.25">
      <c r="V1210">
        <v>5</v>
      </c>
      <c r="W1210">
        <v>150</v>
      </c>
      <c r="X1210">
        <v>140</v>
      </c>
      <c r="Y1210">
        <v>157.5</v>
      </c>
      <c r="Z1210">
        <v>126.300003051758</v>
      </c>
      <c r="AA1210">
        <v>17.600000381469702</v>
      </c>
    </row>
    <row r="1211" spans="22:27" x14ac:dyDescent="0.25">
      <c r="V1211">
        <v>5</v>
      </c>
      <c r="W1211">
        <v>150</v>
      </c>
      <c r="X1211">
        <v>140</v>
      </c>
      <c r="Y1211">
        <v>157.5</v>
      </c>
      <c r="Z1211">
        <v>126.300003051758</v>
      </c>
      <c r="AA1211">
        <v>17.600000381469702</v>
      </c>
    </row>
    <row r="1212" spans="22:27" x14ac:dyDescent="0.25">
      <c r="V1212">
        <v>5</v>
      </c>
      <c r="W1212">
        <v>150</v>
      </c>
      <c r="X1212">
        <v>150</v>
      </c>
      <c r="Y1212">
        <v>157.5</v>
      </c>
      <c r="Z1212">
        <v>126.300003051758</v>
      </c>
      <c r="AA1212">
        <v>18.200000762939499</v>
      </c>
    </row>
    <row r="1213" spans="22:27" x14ac:dyDescent="0.25">
      <c r="V1213">
        <v>5</v>
      </c>
      <c r="W1213">
        <v>150</v>
      </c>
      <c r="X1213">
        <v>150</v>
      </c>
      <c r="Y1213">
        <v>157.5</v>
      </c>
      <c r="Z1213">
        <v>126.300003051758</v>
      </c>
      <c r="AA1213">
        <v>18.200000762939499</v>
      </c>
    </row>
    <row r="1214" spans="22:27" x14ac:dyDescent="0.25">
      <c r="V1214">
        <v>5</v>
      </c>
      <c r="W1214">
        <v>200</v>
      </c>
      <c r="X1214">
        <v>80</v>
      </c>
      <c r="Y1214">
        <v>210</v>
      </c>
      <c r="Z1214">
        <v>166.5</v>
      </c>
      <c r="AA1214">
        <v>14.1000003814697</v>
      </c>
    </row>
    <row r="1215" spans="22:27" x14ac:dyDescent="0.25">
      <c r="V1215">
        <v>5</v>
      </c>
      <c r="W1215">
        <v>200</v>
      </c>
      <c r="X1215">
        <v>80</v>
      </c>
      <c r="Y1215">
        <v>210</v>
      </c>
      <c r="Z1215">
        <v>166.5</v>
      </c>
      <c r="AA1215">
        <v>14.1000003814697</v>
      </c>
    </row>
    <row r="1216" spans="22:27" x14ac:dyDescent="0.25">
      <c r="V1216">
        <v>5</v>
      </c>
      <c r="W1216">
        <v>200</v>
      </c>
      <c r="X1216">
        <v>100</v>
      </c>
      <c r="Y1216">
        <v>210</v>
      </c>
      <c r="Z1216">
        <v>166.5</v>
      </c>
      <c r="AA1216">
        <v>15.5</v>
      </c>
    </row>
    <row r="1217" spans="22:27" x14ac:dyDescent="0.25">
      <c r="V1217">
        <v>5</v>
      </c>
      <c r="W1217">
        <v>200</v>
      </c>
      <c r="X1217">
        <v>100</v>
      </c>
      <c r="Y1217">
        <v>210</v>
      </c>
      <c r="Z1217">
        <v>166.5</v>
      </c>
      <c r="AA1217">
        <v>15.5</v>
      </c>
    </row>
    <row r="1218" spans="22:27" x14ac:dyDescent="0.25">
      <c r="V1218">
        <v>5</v>
      </c>
      <c r="W1218">
        <v>200</v>
      </c>
      <c r="X1218">
        <v>110</v>
      </c>
      <c r="Y1218">
        <v>210</v>
      </c>
      <c r="Z1218">
        <v>166.5</v>
      </c>
      <c r="AA1218">
        <v>16.200000762939499</v>
      </c>
    </row>
    <row r="1219" spans="22:27" x14ac:dyDescent="0.25">
      <c r="V1219">
        <v>5</v>
      </c>
      <c r="W1219">
        <v>200</v>
      </c>
      <c r="X1219">
        <v>110</v>
      </c>
      <c r="Y1219">
        <v>210</v>
      </c>
      <c r="Z1219">
        <v>166.5</v>
      </c>
      <c r="AA1219">
        <v>16.200000762939499</v>
      </c>
    </row>
    <row r="1220" spans="22:27" x14ac:dyDescent="0.25">
      <c r="V1220">
        <v>5</v>
      </c>
      <c r="W1220">
        <v>200</v>
      </c>
      <c r="X1220">
        <v>115</v>
      </c>
      <c r="Y1220">
        <v>210</v>
      </c>
      <c r="Z1220">
        <v>166.5</v>
      </c>
      <c r="AA1220">
        <v>16.5</v>
      </c>
    </row>
    <row r="1221" spans="22:27" x14ac:dyDescent="0.25">
      <c r="V1221">
        <v>5</v>
      </c>
      <c r="W1221">
        <v>200</v>
      </c>
      <c r="X1221">
        <v>115</v>
      </c>
      <c r="Y1221">
        <v>210</v>
      </c>
      <c r="Z1221">
        <v>166.5</v>
      </c>
      <c r="AA1221">
        <v>16.5</v>
      </c>
    </row>
    <row r="1222" spans="22:27" x14ac:dyDescent="0.25">
      <c r="V1222">
        <v>5</v>
      </c>
      <c r="W1222">
        <v>200</v>
      </c>
      <c r="X1222">
        <v>125</v>
      </c>
      <c r="Y1222">
        <v>210</v>
      </c>
      <c r="Z1222">
        <v>166.5</v>
      </c>
      <c r="AA1222">
        <v>17.100000381469702</v>
      </c>
    </row>
    <row r="1223" spans="22:27" x14ac:dyDescent="0.25">
      <c r="V1223">
        <v>5</v>
      </c>
      <c r="W1223">
        <v>200</v>
      </c>
      <c r="X1223">
        <v>125</v>
      </c>
      <c r="Y1223">
        <v>210</v>
      </c>
      <c r="Z1223">
        <v>166.5</v>
      </c>
      <c r="AA1223">
        <v>17.100000381469702</v>
      </c>
    </row>
    <row r="1224" spans="22:27" x14ac:dyDescent="0.25">
      <c r="V1224">
        <v>5</v>
      </c>
      <c r="W1224">
        <v>200</v>
      </c>
      <c r="X1224">
        <v>130</v>
      </c>
      <c r="Y1224">
        <v>210</v>
      </c>
      <c r="Z1224">
        <v>166.5</v>
      </c>
      <c r="AA1224">
        <v>17.399999618530298</v>
      </c>
    </row>
    <row r="1225" spans="22:27" x14ac:dyDescent="0.25">
      <c r="V1225">
        <v>5</v>
      </c>
      <c r="W1225">
        <v>200</v>
      </c>
      <c r="X1225">
        <v>130</v>
      </c>
      <c r="Y1225">
        <v>210</v>
      </c>
      <c r="Z1225">
        <v>166.5</v>
      </c>
      <c r="AA1225">
        <v>17.399999618530298</v>
      </c>
    </row>
    <row r="1226" spans="22:27" x14ac:dyDescent="0.25">
      <c r="V1226">
        <v>5</v>
      </c>
      <c r="W1226">
        <v>200</v>
      </c>
      <c r="X1226">
        <v>140</v>
      </c>
      <c r="Y1226">
        <v>210</v>
      </c>
      <c r="Z1226">
        <v>166.5</v>
      </c>
      <c r="AA1226">
        <v>18</v>
      </c>
    </row>
    <row r="1227" spans="22:27" x14ac:dyDescent="0.25">
      <c r="V1227">
        <v>5</v>
      </c>
      <c r="W1227">
        <v>200</v>
      </c>
      <c r="X1227">
        <v>140</v>
      </c>
      <c r="Y1227">
        <v>210</v>
      </c>
      <c r="Z1227">
        <v>166.5</v>
      </c>
      <c r="AA1227">
        <v>18</v>
      </c>
    </row>
    <row r="1228" spans="22:27" x14ac:dyDescent="0.25">
      <c r="V1228">
        <v>5</v>
      </c>
      <c r="W1228">
        <v>200</v>
      </c>
      <c r="X1228">
        <v>150</v>
      </c>
      <c r="Y1228">
        <v>210</v>
      </c>
      <c r="Z1228">
        <v>166.5</v>
      </c>
      <c r="AA1228">
        <v>18.600000381469702</v>
      </c>
    </row>
    <row r="1229" spans="22:27" x14ac:dyDescent="0.25">
      <c r="V1229">
        <v>5</v>
      </c>
      <c r="W1229">
        <v>200</v>
      </c>
      <c r="X1229">
        <v>150</v>
      </c>
      <c r="Y1229">
        <v>210</v>
      </c>
      <c r="Z1229">
        <v>166.5</v>
      </c>
      <c r="AA1229">
        <v>18.600000381469702</v>
      </c>
    </row>
    <row r="1230" spans="22:27" x14ac:dyDescent="0.25">
      <c r="V1230">
        <v>5</v>
      </c>
      <c r="W1230">
        <v>250</v>
      </c>
      <c r="X1230">
        <v>80</v>
      </c>
      <c r="Y1230">
        <v>262.5</v>
      </c>
      <c r="Z1230">
        <v>209.19999694824199</v>
      </c>
      <c r="AA1230">
        <v>13.199999809265099</v>
      </c>
    </row>
    <row r="1231" spans="22:27" x14ac:dyDescent="0.25">
      <c r="V1231">
        <v>5</v>
      </c>
      <c r="W1231">
        <v>250</v>
      </c>
      <c r="X1231">
        <v>80</v>
      </c>
      <c r="Y1231">
        <v>262.5</v>
      </c>
      <c r="Z1231">
        <v>209.19999694824199</v>
      </c>
      <c r="AA1231">
        <v>13.199999809265099</v>
      </c>
    </row>
    <row r="1232" spans="22:27" x14ac:dyDescent="0.25">
      <c r="V1232">
        <v>5</v>
      </c>
      <c r="W1232">
        <v>250</v>
      </c>
      <c r="X1232">
        <v>100</v>
      </c>
      <c r="Y1232">
        <v>262.5</v>
      </c>
      <c r="Z1232">
        <v>209.19999694824199</v>
      </c>
      <c r="AA1232">
        <v>14.5</v>
      </c>
    </row>
    <row r="1233" spans="22:27" x14ac:dyDescent="0.25">
      <c r="V1233">
        <v>5</v>
      </c>
      <c r="W1233">
        <v>250</v>
      </c>
      <c r="X1233">
        <v>100</v>
      </c>
      <c r="Y1233">
        <v>262.5</v>
      </c>
      <c r="Z1233">
        <v>209.19999694824199</v>
      </c>
      <c r="AA1233">
        <v>14.5</v>
      </c>
    </row>
    <row r="1234" spans="22:27" x14ac:dyDescent="0.25">
      <c r="V1234">
        <v>5</v>
      </c>
      <c r="W1234">
        <v>250</v>
      </c>
      <c r="X1234">
        <v>110</v>
      </c>
      <c r="Y1234">
        <v>262.5</v>
      </c>
      <c r="Z1234">
        <v>209.19999694824199</v>
      </c>
      <c r="AA1234">
        <v>15.1000003814697</v>
      </c>
    </row>
    <row r="1235" spans="22:27" x14ac:dyDescent="0.25">
      <c r="V1235">
        <v>5</v>
      </c>
      <c r="W1235">
        <v>250</v>
      </c>
      <c r="X1235">
        <v>110</v>
      </c>
      <c r="Y1235">
        <v>262.5</v>
      </c>
      <c r="Z1235">
        <v>209.19999694824199</v>
      </c>
      <c r="AA1235">
        <v>15.1000003814697</v>
      </c>
    </row>
    <row r="1236" spans="22:27" x14ac:dyDescent="0.25">
      <c r="V1236">
        <v>5</v>
      </c>
      <c r="W1236">
        <v>250</v>
      </c>
      <c r="X1236">
        <v>115</v>
      </c>
      <c r="Y1236">
        <v>262.5</v>
      </c>
      <c r="Z1236">
        <v>209.19999694824199</v>
      </c>
      <c r="AA1236">
        <v>15.3999996185303</v>
      </c>
    </row>
    <row r="1237" spans="22:27" x14ac:dyDescent="0.25">
      <c r="V1237">
        <v>5</v>
      </c>
      <c r="W1237">
        <v>250</v>
      </c>
      <c r="X1237">
        <v>115</v>
      </c>
      <c r="Y1237">
        <v>262.5</v>
      </c>
      <c r="Z1237">
        <v>209.19999694824199</v>
      </c>
      <c r="AA1237">
        <v>15.3999996185303</v>
      </c>
    </row>
    <row r="1238" spans="22:27" x14ac:dyDescent="0.25">
      <c r="V1238">
        <v>5</v>
      </c>
      <c r="W1238">
        <v>250</v>
      </c>
      <c r="X1238">
        <v>125</v>
      </c>
      <c r="Y1238">
        <v>262.5</v>
      </c>
      <c r="Z1238">
        <v>209.19999694824199</v>
      </c>
      <c r="AA1238">
        <v>16</v>
      </c>
    </row>
    <row r="1239" spans="22:27" x14ac:dyDescent="0.25">
      <c r="V1239">
        <v>5</v>
      </c>
      <c r="W1239">
        <v>250</v>
      </c>
      <c r="X1239">
        <v>125</v>
      </c>
      <c r="Y1239">
        <v>262.5</v>
      </c>
      <c r="Z1239">
        <v>209.19999694824199</v>
      </c>
      <c r="AA1239">
        <v>16</v>
      </c>
    </row>
    <row r="1240" spans="22:27" x14ac:dyDescent="0.25">
      <c r="V1240">
        <v>5</v>
      </c>
      <c r="W1240">
        <v>300</v>
      </c>
      <c r="X1240">
        <v>80</v>
      </c>
      <c r="Y1240">
        <v>315</v>
      </c>
      <c r="Z1240">
        <v>249.69999694824199</v>
      </c>
      <c r="AA1240">
        <v>12.699999809265099</v>
      </c>
    </row>
    <row r="1241" spans="22:27" x14ac:dyDescent="0.25">
      <c r="V1241">
        <v>5</v>
      </c>
      <c r="W1241">
        <v>300</v>
      </c>
      <c r="X1241">
        <v>80</v>
      </c>
      <c r="Y1241">
        <v>315</v>
      </c>
      <c r="Z1241">
        <v>249.69999694824199</v>
      </c>
      <c r="AA1241">
        <v>12.699999809265099</v>
      </c>
    </row>
    <row r="1242" spans="22:27" x14ac:dyDescent="0.25">
      <c r="V1242">
        <v>5</v>
      </c>
      <c r="W1242">
        <v>300</v>
      </c>
      <c r="X1242">
        <v>100</v>
      </c>
      <c r="Y1242">
        <v>315</v>
      </c>
      <c r="Z1242">
        <v>249.69999694824199</v>
      </c>
      <c r="AA1242">
        <v>14</v>
      </c>
    </row>
    <row r="1243" spans="22:27" x14ac:dyDescent="0.25">
      <c r="V1243">
        <v>5</v>
      </c>
      <c r="W1243">
        <v>300</v>
      </c>
      <c r="X1243">
        <v>100</v>
      </c>
      <c r="Y1243">
        <v>315</v>
      </c>
      <c r="Z1243">
        <v>249.69999694824199</v>
      </c>
      <c r="AA1243">
        <v>14</v>
      </c>
    </row>
    <row r="1244" spans="22:27" x14ac:dyDescent="0.25">
      <c r="V1244">
        <v>5</v>
      </c>
      <c r="W1244">
        <v>300</v>
      </c>
      <c r="X1244">
        <v>110</v>
      </c>
      <c r="Y1244">
        <v>315</v>
      </c>
      <c r="Z1244">
        <v>249.69999694824199</v>
      </c>
      <c r="AA1244">
        <v>14.6000003814697</v>
      </c>
    </row>
    <row r="1245" spans="22:27" x14ac:dyDescent="0.25">
      <c r="V1245">
        <v>5</v>
      </c>
      <c r="W1245">
        <v>300</v>
      </c>
      <c r="X1245">
        <v>110</v>
      </c>
      <c r="Y1245">
        <v>315</v>
      </c>
      <c r="Z1245">
        <v>249.69999694824199</v>
      </c>
      <c r="AA1245">
        <v>14.6000003814697</v>
      </c>
    </row>
    <row r="1246" spans="22:27" x14ac:dyDescent="0.25">
      <c r="V1246">
        <v>5</v>
      </c>
      <c r="W1246">
        <v>300</v>
      </c>
      <c r="X1246">
        <v>115</v>
      </c>
      <c r="Y1246">
        <v>315</v>
      </c>
      <c r="Z1246">
        <v>249.69999694824199</v>
      </c>
      <c r="AA1246">
        <v>14.8999996185303</v>
      </c>
    </row>
    <row r="1247" spans="22:27" x14ac:dyDescent="0.25">
      <c r="V1247">
        <v>5</v>
      </c>
      <c r="W1247">
        <v>300</v>
      </c>
      <c r="X1247">
        <v>115</v>
      </c>
      <c r="Y1247">
        <v>315</v>
      </c>
      <c r="Z1247">
        <v>249.69999694824199</v>
      </c>
      <c r="AA1247">
        <v>14.8999996185303</v>
      </c>
    </row>
    <row r="1248" spans="22:27" x14ac:dyDescent="0.25">
      <c r="V1248">
        <v>5</v>
      </c>
      <c r="W1248">
        <v>300</v>
      </c>
      <c r="X1248">
        <v>125</v>
      </c>
      <c r="Y1248">
        <v>315</v>
      </c>
      <c r="Z1248">
        <v>249.69999694824199</v>
      </c>
      <c r="AA1248">
        <v>94.699996948242202</v>
      </c>
    </row>
    <row r="1249" spans="22:27" x14ac:dyDescent="0.25">
      <c r="V1249">
        <v>5</v>
      </c>
      <c r="W1249">
        <v>300</v>
      </c>
      <c r="X1249">
        <v>125</v>
      </c>
      <c r="Y1249">
        <v>315</v>
      </c>
      <c r="Z1249">
        <v>249.69999694824199</v>
      </c>
      <c r="AA1249">
        <v>94.699996948242202</v>
      </c>
    </row>
    <row r="1250" spans="22:27" x14ac:dyDescent="0.25">
      <c r="V1250">
        <v>5</v>
      </c>
      <c r="W1250">
        <v>350</v>
      </c>
      <c r="X1250">
        <v>80</v>
      </c>
      <c r="Y1250">
        <v>367.5</v>
      </c>
      <c r="Z1250">
        <v>290.10000610351602</v>
      </c>
      <c r="AA1250">
        <v>13</v>
      </c>
    </row>
    <row r="1251" spans="22:27" x14ac:dyDescent="0.25">
      <c r="V1251">
        <v>5</v>
      </c>
      <c r="W1251">
        <v>350</v>
      </c>
      <c r="X1251">
        <v>80</v>
      </c>
      <c r="Y1251">
        <v>367.5</v>
      </c>
      <c r="Z1251">
        <v>290.10000610351602</v>
      </c>
      <c r="AA1251">
        <v>13</v>
      </c>
    </row>
    <row r="1252" spans="22:27" x14ac:dyDescent="0.25">
      <c r="V1252">
        <v>5</v>
      </c>
      <c r="W1252">
        <v>350</v>
      </c>
      <c r="X1252">
        <v>100</v>
      </c>
      <c r="Y1252">
        <v>367.5</v>
      </c>
      <c r="Z1252">
        <v>290.10000610351602</v>
      </c>
      <c r="AA1252">
        <v>14.300000190734901</v>
      </c>
    </row>
    <row r="1253" spans="22:27" x14ac:dyDescent="0.25">
      <c r="V1253">
        <v>5</v>
      </c>
      <c r="W1253">
        <v>350</v>
      </c>
      <c r="X1253">
        <v>100</v>
      </c>
      <c r="Y1253">
        <v>367.5</v>
      </c>
      <c r="Z1253">
        <v>290.10000610351602</v>
      </c>
      <c r="AA1253">
        <v>14.300000190734901</v>
      </c>
    </row>
    <row r="1254" spans="22:27" x14ac:dyDescent="0.25">
      <c r="V1254">
        <v>5</v>
      </c>
      <c r="W1254">
        <v>350</v>
      </c>
      <c r="X1254">
        <v>110</v>
      </c>
      <c r="Y1254">
        <v>367.5</v>
      </c>
      <c r="Z1254">
        <v>290.10000610351602</v>
      </c>
      <c r="AA1254">
        <v>14.800000190734901</v>
      </c>
    </row>
    <row r="1255" spans="22:27" x14ac:dyDescent="0.25">
      <c r="V1255">
        <v>5</v>
      </c>
      <c r="W1255">
        <v>350</v>
      </c>
      <c r="X1255">
        <v>110</v>
      </c>
      <c r="Y1255">
        <v>367.5</v>
      </c>
      <c r="Z1255">
        <v>290.10000610351602</v>
      </c>
      <c r="AA1255">
        <v>14.800000190734901</v>
      </c>
    </row>
    <row r="1256" spans="22:27" x14ac:dyDescent="0.25">
      <c r="V1256">
        <v>5</v>
      </c>
      <c r="W1256">
        <v>350</v>
      </c>
      <c r="X1256">
        <v>115</v>
      </c>
      <c r="Y1256">
        <v>367.5</v>
      </c>
      <c r="Z1256">
        <v>290.10000610351602</v>
      </c>
      <c r="AA1256">
        <v>15.199999809265099</v>
      </c>
    </row>
    <row r="1257" spans="22:27" x14ac:dyDescent="0.25">
      <c r="V1257">
        <v>5</v>
      </c>
      <c r="W1257">
        <v>350</v>
      </c>
      <c r="X1257">
        <v>115</v>
      </c>
      <c r="Y1257">
        <v>367.5</v>
      </c>
      <c r="Z1257">
        <v>290.10000610351602</v>
      </c>
      <c r="AA1257">
        <v>15.199999809265099</v>
      </c>
    </row>
    <row r="1258" spans="22:27" x14ac:dyDescent="0.25">
      <c r="V1258">
        <v>5</v>
      </c>
      <c r="W1258">
        <v>350</v>
      </c>
      <c r="X1258">
        <v>125</v>
      </c>
      <c r="Y1258">
        <v>367.5</v>
      </c>
      <c r="Z1258">
        <v>290.10000610351602</v>
      </c>
      <c r="AA1258">
        <v>15.800000190734901</v>
      </c>
    </row>
    <row r="1259" spans="22:27" x14ac:dyDescent="0.25">
      <c r="V1259">
        <v>5</v>
      </c>
      <c r="W1259">
        <v>350</v>
      </c>
      <c r="X1259">
        <v>125</v>
      </c>
      <c r="Y1259">
        <v>367.5</v>
      </c>
      <c r="Z1259">
        <v>290.10000610351602</v>
      </c>
      <c r="AA1259">
        <v>15.800000190734901</v>
      </c>
    </row>
    <row r="1260" spans="22:27" x14ac:dyDescent="0.25">
      <c r="V1260">
        <v>5</v>
      </c>
      <c r="W1260">
        <v>400</v>
      </c>
      <c r="X1260">
        <v>80</v>
      </c>
      <c r="Y1260">
        <v>420</v>
      </c>
      <c r="Z1260">
        <v>331.60000610351602</v>
      </c>
      <c r="AA1260">
        <v>13.199999809265099</v>
      </c>
    </row>
    <row r="1261" spans="22:27" x14ac:dyDescent="0.25">
      <c r="V1261">
        <v>5</v>
      </c>
      <c r="W1261">
        <v>400</v>
      </c>
      <c r="X1261">
        <v>80</v>
      </c>
      <c r="Y1261">
        <v>420</v>
      </c>
      <c r="Z1261">
        <v>331.60000610351602</v>
      </c>
      <c r="AA1261">
        <v>13.199999809265099</v>
      </c>
    </row>
    <row r="1262" spans="22:27" x14ac:dyDescent="0.25">
      <c r="V1262">
        <v>5</v>
      </c>
      <c r="W1262">
        <v>400</v>
      </c>
      <c r="X1262">
        <v>100</v>
      </c>
      <c r="Y1262">
        <v>420</v>
      </c>
      <c r="Z1262">
        <v>331.60000610351602</v>
      </c>
      <c r="AA1262">
        <v>14.5</v>
      </c>
    </row>
    <row r="1263" spans="22:27" x14ac:dyDescent="0.25">
      <c r="V1263">
        <v>5</v>
      </c>
      <c r="W1263">
        <v>400</v>
      </c>
      <c r="X1263">
        <v>100</v>
      </c>
      <c r="Y1263">
        <v>420</v>
      </c>
      <c r="Z1263">
        <v>331.60000610351602</v>
      </c>
      <c r="AA1263">
        <v>14.5</v>
      </c>
    </row>
    <row r="1264" spans="22:27" x14ac:dyDescent="0.25">
      <c r="V1264">
        <v>5</v>
      </c>
      <c r="W1264">
        <v>400</v>
      </c>
      <c r="X1264">
        <v>110</v>
      </c>
      <c r="Y1264">
        <v>420</v>
      </c>
      <c r="Z1264">
        <v>331.60000610351602</v>
      </c>
      <c r="AA1264">
        <v>15</v>
      </c>
    </row>
    <row r="1265" spans="22:27" x14ac:dyDescent="0.25">
      <c r="V1265">
        <v>5</v>
      </c>
      <c r="W1265">
        <v>400</v>
      </c>
      <c r="X1265">
        <v>110</v>
      </c>
      <c r="Y1265">
        <v>420</v>
      </c>
      <c r="Z1265">
        <v>331.60000610351602</v>
      </c>
      <c r="AA1265">
        <v>15</v>
      </c>
    </row>
    <row r="1266" spans="22:27" x14ac:dyDescent="0.25">
      <c r="V1266">
        <v>5</v>
      </c>
      <c r="W1266">
        <v>400</v>
      </c>
      <c r="X1266">
        <v>115</v>
      </c>
      <c r="Y1266">
        <v>420</v>
      </c>
      <c r="Z1266">
        <v>331.60000610351602</v>
      </c>
      <c r="AA1266">
        <v>15.300000190734901</v>
      </c>
    </row>
    <row r="1267" spans="22:27" x14ac:dyDescent="0.25">
      <c r="V1267">
        <v>5</v>
      </c>
      <c r="W1267">
        <v>400</v>
      </c>
      <c r="X1267">
        <v>115</v>
      </c>
      <c r="Y1267">
        <v>420</v>
      </c>
      <c r="Z1267">
        <v>331.60000610351602</v>
      </c>
      <c r="AA1267">
        <v>15.300000190734901</v>
      </c>
    </row>
    <row r="1268" spans="22:27" x14ac:dyDescent="0.25">
      <c r="V1268">
        <v>5</v>
      </c>
      <c r="W1268">
        <v>400</v>
      </c>
      <c r="X1268">
        <v>125</v>
      </c>
      <c r="Y1268">
        <v>420</v>
      </c>
      <c r="Z1268">
        <v>331.60000610351602</v>
      </c>
      <c r="AA1268">
        <v>15.800000190734901</v>
      </c>
    </row>
    <row r="1269" spans="22:27" x14ac:dyDescent="0.25">
      <c r="V1269">
        <v>5</v>
      </c>
      <c r="W1269">
        <v>400</v>
      </c>
      <c r="X1269">
        <v>125</v>
      </c>
      <c r="Y1269">
        <v>420</v>
      </c>
      <c r="Z1269">
        <v>331.60000610351602</v>
      </c>
      <c r="AA1269">
        <v>15.800000190734901</v>
      </c>
    </row>
    <row r="1270" spans="22:27" x14ac:dyDescent="0.25">
      <c r="V1270">
        <v>5</v>
      </c>
      <c r="W1270">
        <v>900</v>
      </c>
      <c r="X1270">
        <v>125</v>
      </c>
      <c r="Y1270">
        <v>851</v>
      </c>
      <c r="Z1270">
        <v>668</v>
      </c>
      <c r="AA1270">
        <v>16.299999237060501</v>
      </c>
    </row>
    <row r="1271" spans="22:27" x14ac:dyDescent="0.25">
      <c r="V1271">
        <v>6</v>
      </c>
      <c r="W1271">
        <v>600</v>
      </c>
      <c r="X1271">
        <v>100</v>
      </c>
      <c r="Y1271">
        <v>573</v>
      </c>
      <c r="Z1271">
        <v>452.29998779296898</v>
      </c>
      <c r="AA1271">
        <v>14.3999996185303</v>
      </c>
    </row>
    <row r="1272" spans="22:27" x14ac:dyDescent="0.25">
      <c r="V1272">
        <v>6</v>
      </c>
      <c r="W1272">
        <v>600</v>
      </c>
      <c r="X1272">
        <v>100</v>
      </c>
      <c r="Y1272">
        <v>573</v>
      </c>
      <c r="Z1272">
        <v>452.29998779296898</v>
      </c>
      <c r="AA1272">
        <v>14.3999996185303</v>
      </c>
    </row>
    <row r="1273" spans="22:27" x14ac:dyDescent="0.25">
      <c r="V1273">
        <v>6</v>
      </c>
      <c r="W1273">
        <v>600</v>
      </c>
      <c r="X1273">
        <v>100</v>
      </c>
      <c r="Y1273">
        <v>573</v>
      </c>
      <c r="Z1273">
        <v>452.29998779296898</v>
      </c>
      <c r="AA1273">
        <v>14.3999996185303</v>
      </c>
    </row>
    <row r="1274" spans="22:27" x14ac:dyDescent="0.25">
      <c r="V1274">
        <v>6</v>
      </c>
      <c r="W1274">
        <v>600</v>
      </c>
      <c r="X1274">
        <v>100</v>
      </c>
      <c r="Y1274">
        <v>573</v>
      </c>
      <c r="Z1274">
        <v>452.29998779296898</v>
      </c>
      <c r="AA1274">
        <v>14.3999996185303</v>
      </c>
    </row>
    <row r="1275" spans="22:27" x14ac:dyDescent="0.25">
      <c r="V1275">
        <v>6</v>
      </c>
      <c r="W1275">
        <v>600</v>
      </c>
      <c r="X1275">
        <v>100</v>
      </c>
      <c r="Y1275">
        <v>573</v>
      </c>
      <c r="Z1275">
        <v>452.29998779296898</v>
      </c>
      <c r="AA1275">
        <v>14.3999996185303</v>
      </c>
    </row>
  </sheetData>
  <autoFilter ref="AZ1:BE18"/>
  <mergeCells count="2">
    <mergeCell ref="N2:Q2"/>
    <mergeCell ref="A21:M21"/>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J62"/>
  <sheetViews>
    <sheetView workbookViewId="0">
      <selection activeCell="D26" sqref="D26"/>
    </sheetView>
  </sheetViews>
  <sheetFormatPr defaultRowHeight="15" x14ac:dyDescent="0.25"/>
  <cols>
    <col min="1" max="1" width="13.7109375" customWidth="1"/>
  </cols>
  <sheetData>
    <row r="1" spans="1:9" x14ac:dyDescent="0.25">
      <c r="A1" s="86" t="s">
        <v>241</v>
      </c>
      <c r="B1" t="s">
        <v>232</v>
      </c>
      <c r="C1" t="s">
        <v>233</v>
      </c>
      <c r="F1" t="s">
        <v>234</v>
      </c>
      <c r="G1" t="s">
        <v>232</v>
      </c>
      <c r="H1" t="s">
        <v>235</v>
      </c>
      <c r="I1" t="s">
        <v>236</v>
      </c>
    </row>
    <row r="2" spans="1:9" x14ac:dyDescent="0.25">
      <c r="A2" t="s">
        <v>237</v>
      </c>
      <c r="B2" t="s">
        <v>238</v>
      </c>
      <c r="C2" t="s">
        <v>239</v>
      </c>
      <c r="D2" s="4" t="s">
        <v>6</v>
      </c>
      <c r="F2" t="s">
        <v>237</v>
      </c>
      <c r="G2" t="s">
        <v>238</v>
      </c>
      <c r="H2" t="s">
        <v>239</v>
      </c>
    </row>
    <row r="3" spans="1:9" x14ac:dyDescent="0.25">
      <c r="A3">
        <v>1.46</v>
      </c>
      <c r="B3">
        <v>1.99</v>
      </c>
      <c r="C3">
        <v>3.14</v>
      </c>
      <c r="D3" s="6" t="s">
        <v>29</v>
      </c>
      <c r="F3">
        <v>0.64</v>
      </c>
      <c r="G3">
        <v>0.79</v>
      </c>
      <c r="H3">
        <v>1.04</v>
      </c>
    </row>
    <row r="4" spans="1:9" x14ac:dyDescent="0.25">
      <c r="A4">
        <v>0.86</v>
      </c>
      <c r="B4">
        <v>1.08</v>
      </c>
      <c r="C4">
        <v>1.45</v>
      </c>
      <c r="D4" s="6" t="s">
        <v>43</v>
      </c>
      <c r="F4">
        <v>0.83</v>
      </c>
      <c r="G4">
        <v>1.02</v>
      </c>
      <c r="H4">
        <v>1.34</v>
      </c>
    </row>
    <row r="5" spans="1:9" x14ac:dyDescent="0.25">
      <c r="A5">
        <v>0.52</v>
      </c>
      <c r="B5">
        <v>0.68</v>
      </c>
      <c r="C5">
        <v>0.98</v>
      </c>
      <c r="D5" s="6" t="s">
        <v>30</v>
      </c>
      <c r="F5">
        <v>0.31</v>
      </c>
      <c r="G5">
        <v>0.38</v>
      </c>
      <c r="H5">
        <v>0.5</v>
      </c>
    </row>
    <row r="6" spans="1:9" x14ac:dyDescent="0.25">
      <c r="A6">
        <v>0.89</v>
      </c>
      <c r="B6">
        <v>1.17</v>
      </c>
      <c r="C6">
        <v>1.72</v>
      </c>
      <c r="D6" s="6" t="s">
        <v>36</v>
      </c>
      <c r="F6">
        <v>0.44</v>
      </c>
      <c r="G6">
        <v>0.54</v>
      </c>
      <c r="H6">
        <v>0.71</v>
      </c>
    </row>
    <row r="7" spans="1:9" x14ac:dyDescent="0.25">
      <c r="A7">
        <v>1.49</v>
      </c>
      <c r="B7">
        <v>2.0699999999999998</v>
      </c>
      <c r="C7">
        <v>3.38</v>
      </c>
      <c r="D7" s="6" t="s">
        <v>37</v>
      </c>
      <c r="F7">
        <v>0.81</v>
      </c>
      <c r="G7">
        <v>1.02</v>
      </c>
      <c r="H7">
        <v>1.39</v>
      </c>
    </row>
    <row r="8" spans="1:9" x14ac:dyDescent="0.25">
      <c r="A8">
        <v>2.31</v>
      </c>
      <c r="B8">
        <v>3.5</v>
      </c>
      <c r="C8">
        <v>7.18</v>
      </c>
      <c r="D8" s="6" t="s">
        <v>38</v>
      </c>
      <c r="F8">
        <v>1.67</v>
      </c>
      <c r="G8">
        <v>2.2799999999999998</v>
      </c>
      <c r="H8">
        <v>3.58</v>
      </c>
    </row>
    <row r="9" spans="1:9" x14ac:dyDescent="0.25">
      <c r="A9">
        <v>0.74</v>
      </c>
      <c r="B9">
        <v>0.97</v>
      </c>
      <c r="C9">
        <v>1.39</v>
      </c>
      <c r="D9" s="6" t="s">
        <v>31</v>
      </c>
      <c r="F9">
        <v>0.18</v>
      </c>
      <c r="G9">
        <v>0.22</v>
      </c>
      <c r="H9">
        <v>0.28000000000000003</v>
      </c>
    </row>
    <row r="10" spans="1:9" x14ac:dyDescent="0.25">
      <c r="A10">
        <v>0.49</v>
      </c>
      <c r="B10">
        <v>0.62</v>
      </c>
      <c r="C10">
        <v>0.85</v>
      </c>
      <c r="D10" s="6" t="s">
        <v>32</v>
      </c>
      <c r="F10">
        <v>0.19</v>
      </c>
      <c r="G10">
        <v>0.24</v>
      </c>
      <c r="H10">
        <v>0.3</v>
      </c>
    </row>
    <row r="11" spans="1:9" x14ac:dyDescent="0.25">
      <c r="D11" s="6" t="s">
        <v>33</v>
      </c>
    </row>
    <row r="12" spans="1:9" x14ac:dyDescent="0.25">
      <c r="A12">
        <v>0.93</v>
      </c>
      <c r="B12">
        <v>1.25</v>
      </c>
      <c r="C12">
        <v>1.92</v>
      </c>
      <c r="D12" s="6" t="s">
        <v>82</v>
      </c>
      <c r="F12">
        <v>0.78</v>
      </c>
      <c r="G12">
        <v>0.99</v>
      </c>
      <c r="H12">
        <v>1.37</v>
      </c>
    </row>
    <row r="13" spans="1:9" x14ac:dyDescent="0.25">
      <c r="D13" s="6" t="s">
        <v>9</v>
      </c>
      <c r="F13">
        <v>0.2</v>
      </c>
      <c r="G13">
        <v>0.24</v>
      </c>
      <c r="H13">
        <v>0.3</v>
      </c>
    </row>
    <row r="14" spans="1:9" x14ac:dyDescent="0.25">
      <c r="A14">
        <v>0.43</v>
      </c>
      <c r="B14">
        <v>0.55000000000000004</v>
      </c>
      <c r="C14">
        <v>0.77</v>
      </c>
      <c r="D14" s="6" t="s">
        <v>34</v>
      </c>
    </row>
    <row r="15" spans="1:9" x14ac:dyDescent="0.25">
      <c r="A15">
        <v>3.2</v>
      </c>
      <c r="B15">
        <v>5.34</v>
      </c>
      <c r="C15">
        <v>15.98</v>
      </c>
      <c r="D15" s="6" t="s">
        <v>42</v>
      </c>
      <c r="F15">
        <v>1.17</v>
      </c>
      <c r="G15">
        <v>1.5</v>
      </c>
      <c r="H15">
        <v>2.08</v>
      </c>
    </row>
    <row r="16" spans="1:9" x14ac:dyDescent="0.25">
      <c r="D16" s="6" t="s">
        <v>81</v>
      </c>
    </row>
    <row r="17" spans="1:10" x14ac:dyDescent="0.25">
      <c r="D17" s="6" t="s">
        <v>132</v>
      </c>
      <c r="F17">
        <v>0.55000000000000004</v>
      </c>
      <c r="G17">
        <v>0.68</v>
      </c>
      <c r="H17">
        <v>0.9</v>
      </c>
    </row>
    <row r="18" spans="1:10" x14ac:dyDescent="0.25">
      <c r="A18">
        <v>1.8</v>
      </c>
      <c r="B18">
        <v>2.71</v>
      </c>
      <c r="C18">
        <v>5.49</v>
      </c>
      <c r="D18" s="6" t="s">
        <v>136</v>
      </c>
    </row>
    <row r="20" spans="1:10" x14ac:dyDescent="0.25">
      <c r="A20">
        <f>AVERAGE(A16:A18,A3:A14)</f>
        <v>1.0836363636363637</v>
      </c>
      <c r="B20">
        <f>AVERAGE(B16:B18,B3:B14)</f>
        <v>1.5081818181818181</v>
      </c>
      <c r="C20">
        <f>AVERAGE(C16:C18,C3:C14)</f>
        <v>2.57</v>
      </c>
      <c r="D20" s="6" t="s">
        <v>240</v>
      </c>
      <c r="F20">
        <f>AVERAGE(F3:F18)</f>
        <v>0.64750000000000008</v>
      </c>
      <c r="G20">
        <f>AVERAGE(G3:G18)</f>
        <v>0.82499999999999984</v>
      </c>
      <c r="H20">
        <f>AVERAGE(H3:H18)</f>
        <v>1.1491666666666667</v>
      </c>
    </row>
    <row r="21" spans="1:10" x14ac:dyDescent="0.25">
      <c r="A21">
        <f>A20*12</f>
        <v>13.003636363636364</v>
      </c>
      <c r="B21">
        <f>B20*12</f>
        <v>18.098181818181818</v>
      </c>
      <c r="C21">
        <f>C20*12</f>
        <v>30.839999999999996</v>
      </c>
      <c r="F21">
        <f>F20*12</f>
        <v>7.7700000000000014</v>
      </c>
      <c r="G21">
        <f>G20*12</f>
        <v>9.8999999999999986</v>
      </c>
      <c r="H21">
        <f>H20*12</f>
        <v>13.79</v>
      </c>
    </row>
    <row r="23" spans="1:10" x14ac:dyDescent="0.25">
      <c r="A23" t="s">
        <v>254</v>
      </c>
      <c r="B23" t="s">
        <v>255</v>
      </c>
      <c r="C23" t="s">
        <v>256</v>
      </c>
      <c r="D23" s="4" t="s">
        <v>6</v>
      </c>
      <c r="F23" t="s">
        <v>254</v>
      </c>
      <c r="G23" t="s">
        <v>255</v>
      </c>
      <c r="H23" t="s">
        <v>256</v>
      </c>
      <c r="J23" t="s">
        <v>266</v>
      </c>
    </row>
    <row r="24" spans="1:10" x14ac:dyDescent="0.25">
      <c r="A24">
        <v>0.65138178741870545</v>
      </c>
      <c r="B24">
        <v>0.85970594211550244</v>
      </c>
      <c r="C24">
        <v>1.2639366797257461</v>
      </c>
      <c r="D24" s="6" t="s">
        <v>29</v>
      </c>
      <c r="F24">
        <v>0.33171028162414212</v>
      </c>
      <c r="G24">
        <v>0.40923514186848803</v>
      </c>
      <c r="H24">
        <v>0.53404913398578457</v>
      </c>
    </row>
    <row r="25" spans="1:10" x14ac:dyDescent="0.25">
      <c r="A25">
        <v>0.33200897007913588</v>
      </c>
      <c r="B25">
        <v>0.41609820803619807</v>
      </c>
      <c r="C25">
        <v>0.55723010153080099</v>
      </c>
      <c r="D25" s="6" t="s">
        <v>43</v>
      </c>
      <c r="F25">
        <v>0.42004857968189963</v>
      </c>
      <c r="G25">
        <v>0.51504830534226509</v>
      </c>
      <c r="H25">
        <v>0.66557782453297032</v>
      </c>
    </row>
    <row r="26" spans="1:10" x14ac:dyDescent="0.25">
      <c r="A26">
        <v>0.19753645384007715</v>
      </c>
      <c r="B26">
        <v>0.25527914823112852</v>
      </c>
      <c r="C26">
        <v>0.36072381113178481</v>
      </c>
      <c r="D26" s="6" t="s">
        <v>30</v>
      </c>
      <c r="F26">
        <v>0.16387687855659908</v>
      </c>
      <c r="G26">
        <v>0.20166564877950582</v>
      </c>
      <c r="H26">
        <v>0.26210510626913675</v>
      </c>
    </row>
    <row r="27" spans="1:10" x14ac:dyDescent="0.25">
      <c r="A27" s="89">
        <f>IF($A$25="Cordless",(A25-SUM(Basic!$BK$123:$BK$135)*0.6666/'System Info'!$D$14)/A26,(A25/A26))</f>
        <v>1.6807478499534363</v>
      </c>
      <c r="B27" s="89">
        <f>IF($A$25="Cordless",(B25-SUM(Basic!$BK$123:$BK$135)*0.6666/'System Info'!$D$14)/B26,(B25/B26))</f>
        <v>1.6299733484673991</v>
      </c>
      <c r="C27" s="89">
        <f>IF($A$25="Cordless",(C25-SUM(Basic!$BK$123:$BK$135)*0.6666/'System Info'!$D$14)/C26,(C25/C26))</f>
        <v>1.5447555285648322</v>
      </c>
      <c r="D27" s="6" t="s">
        <v>36</v>
      </c>
      <c r="F27">
        <v>0.22931024295196861</v>
      </c>
      <c r="G27">
        <v>0.28325101930468638</v>
      </c>
      <c r="H27">
        <v>0.37037439477179707</v>
      </c>
    </row>
    <row r="28" spans="1:10" x14ac:dyDescent="0.25">
      <c r="A28">
        <v>0.80558116349038278</v>
      </c>
      <c r="B28">
        <v>1.0674184692565576</v>
      </c>
      <c r="C28">
        <v>1.581428829364298</v>
      </c>
      <c r="D28" s="6" t="s">
        <v>37</v>
      </c>
      <c r="F28">
        <v>0.39280419956885021</v>
      </c>
      <c r="G28">
        <v>0.48641858274655037</v>
      </c>
      <c r="H28">
        <v>0.63861552627639839</v>
      </c>
    </row>
    <row r="29" spans="1:10" x14ac:dyDescent="0.25">
      <c r="D29" s="6" t="s">
        <v>38</v>
      </c>
    </row>
    <row r="30" spans="1:10" x14ac:dyDescent="0.25">
      <c r="A30">
        <v>0.33696395230047049</v>
      </c>
      <c r="B30">
        <v>0.43195135999344908</v>
      </c>
      <c r="C30">
        <v>0.6015130007788756</v>
      </c>
      <c r="D30" s="6" t="s">
        <v>31</v>
      </c>
      <c r="F30">
        <v>9.5360209678550953E-2</v>
      </c>
      <c r="G30">
        <v>0.11667434594860041</v>
      </c>
      <c r="H30">
        <v>0.15025901552382515</v>
      </c>
    </row>
    <row r="31" spans="1:10" x14ac:dyDescent="0.25">
      <c r="D31" s="6" t="s">
        <v>32</v>
      </c>
    </row>
    <row r="32" spans="1:10" x14ac:dyDescent="0.25">
      <c r="D32" s="6" t="s">
        <v>33</v>
      </c>
    </row>
    <row r="33" spans="1:10" x14ac:dyDescent="0.25">
      <c r="A33">
        <v>0.46647921608281323</v>
      </c>
      <c r="B33">
        <v>0.60405141461083045</v>
      </c>
      <c r="C33">
        <v>0.85670847784337856</v>
      </c>
      <c r="D33" s="6" t="s">
        <v>82</v>
      </c>
      <c r="F33">
        <v>0.37083613329683168</v>
      </c>
      <c r="G33">
        <v>0.46039406643618491</v>
      </c>
      <c r="H33">
        <v>0.60698182544688095</v>
      </c>
    </row>
    <row r="34" spans="1:10" x14ac:dyDescent="0.25">
      <c r="D34" s="6" t="s">
        <v>9</v>
      </c>
    </row>
    <row r="35" spans="1:10" x14ac:dyDescent="0.25">
      <c r="D35" s="6" t="s">
        <v>34</v>
      </c>
    </row>
    <row r="36" spans="1:10" x14ac:dyDescent="0.25">
      <c r="D36" s="6" t="s">
        <v>42</v>
      </c>
    </row>
    <row r="37" spans="1:10" x14ac:dyDescent="0.25">
      <c r="D37" s="6" t="s">
        <v>81</v>
      </c>
    </row>
    <row r="38" spans="1:10" x14ac:dyDescent="0.25">
      <c r="A38">
        <v>0.41250227532744327</v>
      </c>
      <c r="B38">
        <v>0.5389039613633585</v>
      </c>
      <c r="C38">
        <v>0.77699633823138248</v>
      </c>
      <c r="D38" s="6" t="s">
        <v>132</v>
      </c>
      <c r="F38">
        <v>0.28490075959018907</v>
      </c>
      <c r="G38">
        <v>0.35156143171564913</v>
      </c>
      <c r="H38">
        <v>0.45894464258125933</v>
      </c>
    </row>
    <row r="39" spans="1:10" x14ac:dyDescent="0.25">
      <c r="D39" s="6" t="s">
        <v>136</v>
      </c>
    </row>
    <row r="41" spans="1:10" x14ac:dyDescent="0.25">
      <c r="A41">
        <f>AVERAGE(A24:A40)</f>
        <v>0.61040020856155819</v>
      </c>
      <c r="B41">
        <f t="shared" ref="B41:H41" si="0">AVERAGE(B24:B40)</f>
        <v>0.72542273150930292</v>
      </c>
      <c r="C41">
        <f t="shared" si="0"/>
        <v>0.94291159589638718</v>
      </c>
      <c r="D41" s="6" t="s">
        <v>240</v>
      </c>
      <c r="F41">
        <f t="shared" si="0"/>
        <v>0.28610591061862889</v>
      </c>
      <c r="G41">
        <f t="shared" si="0"/>
        <v>0.35303106776774129</v>
      </c>
      <c r="H41">
        <f t="shared" si="0"/>
        <v>0.46086343367350646</v>
      </c>
    </row>
    <row r="42" spans="1:10" x14ac:dyDescent="0.25">
      <c r="A42">
        <f>A41*12</f>
        <v>7.3248025027386987</v>
      </c>
      <c r="B42">
        <f t="shared" ref="B42:H42" si="1">B41*12</f>
        <v>8.705072778111635</v>
      </c>
      <c r="C42">
        <f t="shared" si="1"/>
        <v>11.314939150756647</v>
      </c>
      <c r="F42">
        <f t="shared" si="1"/>
        <v>3.4332709274235467</v>
      </c>
      <c r="G42">
        <f t="shared" si="1"/>
        <v>4.2363728132128955</v>
      </c>
      <c r="H42">
        <f t="shared" si="1"/>
        <v>5.5303612040820775</v>
      </c>
    </row>
    <row r="44" spans="1:10" x14ac:dyDescent="0.25">
      <c r="A44" t="s">
        <v>254</v>
      </c>
      <c r="B44" t="s">
        <v>255</v>
      </c>
      <c r="C44" t="s">
        <v>256</v>
      </c>
      <c r="D44" s="4" t="s">
        <v>6</v>
      </c>
      <c r="F44" t="s">
        <v>254</v>
      </c>
      <c r="G44" t="s">
        <v>255</v>
      </c>
      <c r="H44" t="s">
        <v>256</v>
      </c>
      <c r="I44" t="s">
        <v>267</v>
      </c>
    </row>
    <row r="45" spans="1:10" x14ac:dyDescent="0.25">
      <c r="A45">
        <v>12.417524965254277</v>
      </c>
      <c r="B45">
        <v>16.840243389355003</v>
      </c>
      <c r="C45">
        <v>26.156248013238539</v>
      </c>
      <c r="D45" s="6" t="s">
        <v>29</v>
      </c>
      <c r="F45">
        <v>5.8858435764617481</v>
      </c>
      <c r="G45">
        <v>7.2763905027033875</v>
      </c>
      <c r="H45">
        <v>9.5272235922554724</v>
      </c>
      <c r="J45" t="s">
        <v>270</v>
      </c>
    </row>
    <row r="46" spans="1:10" x14ac:dyDescent="0.25">
      <c r="A46">
        <v>5.9691625893328917</v>
      </c>
      <c r="B46">
        <v>7.523204946585988</v>
      </c>
      <c r="C46">
        <v>10.171236831276767</v>
      </c>
      <c r="D46" s="6" t="s">
        <v>43</v>
      </c>
      <c r="F46">
        <v>7.5077615481791256</v>
      </c>
      <c r="G46">
        <v>9.239516217464292</v>
      </c>
      <c r="H46">
        <v>12.009695631550054</v>
      </c>
    </row>
    <row r="47" spans="1:10" x14ac:dyDescent="0.25">
      <c r="A47">
        <v>3.7473616818252369</v>
      </c>
      <c r="B47">
        <v>4.9565404499086654</v>
      </c>
      <c r="C47">
        <v>7.3178137225038267</v>
      </c>
      <c r="D47" s="6" t="s">
        <v>30</v>
      </c>
      <c r="F47" s="97">
        <v>2.8893591977567654</v>
      </c>
      <c r="G47" s="97">
        <v>3.5575822037747242</v>
      </c>
      <c r="H47" s="97">
        <v>4.6278714922948101</v>
      </c>
    </row>
    <row r="48" spans="1:10" x14ac:dyDescent="0.25">
      <c r="A48">
        <v>7.8288177600247977</v>
      </c>
      <c r="B48">
        <v>10.406308246894081</v>
      </c>
      <c r="C48">
        <v>15.51399990551764</v>
      </c>
      <c r="D48" s="6" t="s">
        <v>36</v>
      </c>
      <c r="F48">
        <v>4.048941898974169</v>
      </c>
      <c r="G48">
        <v>5.0059131985131851</v>
      </c>
      <c r="H48">
        <v>6.5552536934829027</v>
      </c>
    </row>
    <row r="49" spans="1:8" x14ac:dyDescent="0.25">
      <c r="A49">
        <v>16.019362972787761</v>
      </c>
      <c r="B49">
        <v>22.166671911143542</v>
      </c>
      <c r="C49">
        <v>35.969815603196167</v>
      </c>
      <c r="D49" s="6" t="s">
        <v>37</v>
      </c>
      <c r="F49">
        <v>7.1399709727900724</v>
      </c>
      <c r="G49">
        <v>8.9125546629560546</v>
      </c>
      <c r="H49">
        <v>11.855932548955174</v>
      </c>
    </row>
    <row r="50" spans="1:8" x14ac:dyDescent="0.25">
      <c r="D50" s="6" t="s">
        <v>38</v>
      </c>
    </row>
    <row r="51" spans="1:8" x14ac:dyDescent="0.25">
      <c r="A51">
        <v>6.2468347870047269</v>
      </c>
      <c r="B51">
        <v>8.1314774884584473</v>
      </c>
      <c r="C51">
        <v>11.64460332063342</v>
      </c>
      <c r="D51" s="6" t="s">
        <v>31</v>
      </c>
      <c r="F51">
        <v>1.6655838017974349</v>
      </c>
      <c r="G51">
        <v>2.0346799949615924</v>
      </c>
      <c r="H51">
        <v>2.6139316865680149</v>
      </c>
    </row>
    <row r="52" spans="1:8" x14ac:dyDescent="0.25">
      <c r="A52">
        <v>4.6363808189732136</v>
      </c>
      <c r="B52">
        <v>5.8527956111925716</v>
      </c>
      <c r="C52">
        <v>7.9345201375758858</v>
      </c>
      <c r="D52" s="6" t="s">
        <v>32</v>
      </c>
      <c r="F52">
        <v>1.7809502424870984</v>
      </c>
      <c r="G52">
        <v>2.1768055995302582</v>
      </c>
      <c r="H52">
        <v>2.7989291571805479</v>
      </c>
    </row>
    <row r="53" spans="1:8" x14ac:dyDescent="0.25">
      <c r="D53" s="6" t="s">
        <v>33</v>
      </c>
    </row>
    <row r="54" spans="1:8" x14ac:dyDescent="0.25">
      <c r="A54">
        <v>8.917267057088786</v>
      </c>
      <c r="B54">
        <v>11.850483519981447</v>
      </c>
      <c r="C54">
        <v>17.659263510538537</v>
      </c>
      <c r="D54" s="6" t="s">
        <v>82</v>
      </c>
      <c r="F54">
        <v>6.7794915065669406</v>
      </c>
      <c r="G54">
        <v>8.4975351277549258</v>
      </c>
      <c r="H54">
        <v>11.381914529197115</v>
      </c>
    </row>
    <row r="55" spans="1:8" x14ac:dyDescent="0.25">
      <c r="D55" s="6" t="s">
        <v>9</v>
      </c>
    </row>
    <row r="56" spans="1:8" x14ac:dyDescent="0.25">
      <c r="D56" s="6" t="s">
        <v>34</v>
      </c>
    </row>
    <row r="57" spans="1:8" x14ac:dyDescent="0.25">
      <c r="D57" s="6" t="s">
        <v>42</v>
      </c>
    </row>
    <row r="58" spans="1:8" x14ac:dyDescent="0.25">
      <c r="D58" s="6" t="s">
        <v>81</v>
      </c>
    </row>
    <row r="59" spans="1:8" x14ac:dyDescent="0.25">
      <c r="A59">
        <v>7.8720779534677519</v>
      </c>
      <c r="B59">
        <v>10.559199574883039</v>
      </c>
      <c r="C59">
        <v>16.031541416434401</v>
      </c>
      <c r="D59" s="6" t="s">
        <v>132</v>
      </c>
      <c r="F59">
        <v>5.0587181888053241</v>
      </c>
      <c r="G59">
        <v>6.2562301378689487</v>
      </c>
      <c r="H59">
        <v>8.196533214425461</v>
      </c>
    </row>
    <row r="60" spans="1:8" x14ac:dyDescent="0.25">
      <c r="D60" s="6" t="s">
        <v>136</v>
      </c>
    </row>
    <row r="62" spans="1:8" x14ac:dyDescent="0.25">
      <c r="A62">
        <f>AVERAGE(A45:A59)</f>
        <v>8.1838656206399385</v>
      </c>
      <c r="B62">
        <f>AVERAGE(B45:B59)</f>
        <v>10.920769459822532</v>
      </c>
      <c r="C62">
        <f>AVERAGE(C45:C59)</f>
        <v>16.488782495657244</v>
      </c>
      <c r="D62" s="6" t="s">
        <v>240</v>
      </c>
      <c r="F62">
        <f>AVERAGE(F45:F60)</f>
        <v>4.7507356593131869</v>
      </c>
      <c r="G62">
        <f>AVERAGE(G45:G60)</f>
        <v>5.884134182836374</v>
      </c>
      <c r="H62">
        <f>AVERAGE(H45:H60)</f>
        <v>7.7296983939899491</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92</vt:i4>
      </vt:variant>
    </vt:vector>
  </HeadingPairs>
  <TitlesOfParts>
    <vt:vector size="94" baseType="lpstr">
      <vt:lpstr>Basic</vt:lpstr>
      <vt:lpstr>Advanced</vt:lpstr>
      <vt:lpstr>a</vt:lpstr>
      <vt:lpstr>b</vt:lpstr>
      <vt:lpstr>c_allhp</vt:lpstr>
      <vt:lpstr>comptype1</vt:lpstr>
      <vt:lpstr>comptype10</vt:lpstr>
      <vt:lpstr>comptype2</vt:lpstr>
      <vt:lpstr>comptype3</vt:lpstr>
      <vt:lpstr>comptype4</vt:lpstr>
      <vt:lpstr>comptype5</vt:lpstr>
      <vt:lpstr>comptype6</vt:lpstr>
      <vt:lpstr>comptype7</vt:lpstr>
      <vt:lpstr>comptype8</vt:lpstr>
      <vt:lpstr>comptype9</vt:lpstr>
      <vt:lpstr>d</vt:lpstr>
      <vt:lpstr>Days1</vt:lpstr>
      <vt:lpstr>Days10</vt:lpstr>
      <vt:lpstr>Days2</vt:lpstr>
      <vt:lpstr>Days3</vt:lpstr>
      <vt:lpstr>Days4</vt:lpstr>
      <vt:lpstr>Days5</vt:lpstr>
      <vt:lpstr>Days6</vt:lpstr>
      <vt:lpstr>Days7</vt:lpstr>
      <vt:lpstr>Days8</vt:lpstr>
      <vt:lpstr>Days9</vt:lpstr>
      <vt:lpstr>dfltcrdlifetime</vt:lpstr>
      <vt:lpstr>dfltcrdlslifetime</vt:lpstr>
      <vt:lpstr>dfltplifetime</vt:lpstr>
      <vt:lpstr>dftcost</vt:lpstr>
      <vt:lpstr>dftleak</vt:lpstr>
      <vt:lpstr>e</vt:lpstr>
      <vt:lpstr>f</vt:lpstr>
      <vt:lpstr>g</vt:lpstr>
      <vt:lpstr>h</vt:lpstr>
      <vt:lpstr>Hour1</vt:lpstr>
      <vt:lpstr>Hour10</vt:lpstr>
      <vt:lpstr>Hour2</vt:lpstr>
      <vt:lpstr>Hour3</vt:lpstr>
      <vt:lpstr>Hour4</vt:lpstr>
      <vt:lpstr>Hour5</vt:lpstr>
      <vt:lpstr>Hour6</vt:lpstr>
      <vt:lpstr>Hour7</vt:lpstr>
      <vt:lpstr>Hour8</vt:lpstr>
      <vt:lpstr>Hour9</vt:lpstr>
      <vt:lpstr>HP</vt:lpstr>
      <vt:lpstr>i</vt:lpstr>
      <vt:lpstr>j</vt:lpstr>
      <vt:lpstr>junk</vt:lpstr>
      <vt:lpstr>k</vt:lpstr>
      <vt:lpstr>l</vt:lpstr>
      <vt:lpstr>m</vt:lpstr>
      <vt:lpstr>n</vt:lpstr>
      <vt:lpstr>pressure1</vt:lpstr>
      <vt:lpstr>pressure10</vt:lpstr>
      <vt:lpstr>pressure2</vt:lpstr>
      <vt:lpstr>pressure3</vt:lpstr>
      <vt:lpstr>pressure4</vt:lpstr>
      <vt:lpstr>pressure5</vt:lpstr>
      <vt:lpstr>pressure6</vt:lpstr>
      <vt:lpstr>pressure7</vt:lpstr>
      <vt:lpstr>pressure8</vt:lpstr>
      <vt:lpstr>pressure9</vt:lpstr>
      <vt:lpstr>Quantity1</vt:lpstr>
      <vt:lpstr>Quantity10</vt:lpstr>
      <vt:lpstr>Quantity2</vt:lpstr>
      <vt:lpstr>Quantity3</vt:lpstr>
      <vt:lpstr>Quantity4</vt:lpstr>
      <vt:lpstr>Quantity5</vt:lpstr>
      <vt:lpstr>Quantity6</vt:lpstr>
      <vt:lpstr>Quantity7</vt:lpstr>
      <vt:lpstr>Quantity8</vt:lpstr>
      <vt:lpstr>Quantity9</vt:lpstr>
      <vt:lpstr>Rtype1</vt:lpstr>
      <vt:lpstr>Rtype10</vt:lpstr>
      <vt:lpstr>Rtype2</vt:lpstr>
      <vt:lpstr>Rtype3</vt:lpstr>
      <vt:lpstr>Rtype4</vt:lpstr>
      <vt:lpstr>Rtype5</vt:lpstr>
      <vt:lpstr>Rtype6</vt:lpstr>
      <vt:lpstr>Rtype7</vt:lpstr>
      <vt:lpstr>Rtype8</vt:lpstr>
      <vt:lpstr>Rtype9</vt:lpstr>
      <vt:lpstr>specpow</vt:lpstr>
      <vt:lpstr>Type1</vt:lpstr>
      <vt:lpstr>Type10</vt:lpstr>
      <vt:lpstr>Type2</vt:lpstr>
      <vt:lpstr>Type3</vt:lpstr>
      <vt:lpstr>Type4</vt:lpstr>
      <vt:lpstr>Type5</vt:lpstr>
      <vt:lpstr>Type6</vt:lpstr>
      <vt:lpstr>Type7</vt:lpstr>
      <vt:lpstr>Type8</vt:lpstr>
      <vt:lpstr>Type9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Noel</dc:creator>
  <cp:lastModifiedBy>Jon C Vanyo</cp:lastModifiedBy>
  <dcterms:created xsi:type="dcterms:W3CDTF">2016-07-20T17:27:22Z</dcterms:created>
  <dcterms:modified xsi:type="dcterms:W3CDTF">2018-01-02T19:29:02Z</dcterms:modified>
</cp:coreProperties>
</file>